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84" yWindow="288" windowWidth="22536" windowHeight="1128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F46" i="1" l="1"/>
  <c r="F44" i="1"/>
  <c r="F45" i="1" s="1"/>
  <c r="F43" i="1"/>
  <c r="Q42" i="1"/>
  <c r="L42" i="1"/>
  <c r="F42" i="1"/>
  <c r="T41" i="1"/>
  <c r="Q41" i="1"/>
  <c r="Q43" i="1" s="1"/>
  <c r="F41" i="1"/>
  <c r="T40" i="1"/>
  <c r="T42" i="1" s="1"/>
  <c r="Q40" i="1"/>
  <c r="N40" i="1"/>
  <c r="M40" i="1"/>
  <c r="N42" i="1" s="1"/>
  <c r="L40" i="1"/>
  <c r="I40" i="1"/>
  <c r="I42" i="1" s="1"/>
  <c r="F40" i="1"/>
  <c r="I38" i="1"/>
  <c r="Q37" i="1"/>
  <c r="Q35" i="1"/>
  <c r="Q34" i="1"/>
  <c r="L34" i="1"/>
  <c r="F34" i="1"/>
  <c r="F35" i="1" s="1"/>
  <c r="Q33" i="1"/>
  <c r="Q32" i="1"/>
  <c r="N32" i="1"/>
  <c r="M32" i="1"/>
  <c r="N34" i="1" s="1"/>
  <c r="L32" i="1"/>
  <c r="I32" i="1"/>
  <c r="I34" i="1" s="1"/>
  <c r="F32" i="1"/>
  <c r="F33" i="1" s="1"/>
  <c r="Q31" i="1"/>
  <c r="Q30" i="1"/>
  <c r="M30" i="1"/>
  <c r="F30" i="1"/>
  <c r="F31" i="1" s="1"/>
  <c r="Q28" i="1"/>
  <c r="M28" i="1"/>
  <c r="F28" i="1"/>
  <c r="F29" i="1" s="1"/>
  <c r="Q27" i="1"/>
  <c r="Q22" i="1" s="1"/>
  <c r="N26" i="1"/>
  <c r="M26" i="1"/>
  <c r="L26" i="1"/>
  <c r="Q25" i="1"/>
  <c r="Q24" i="1"/>
  <c r="F24" i="1"/>
  <c r="F25" i="1" s="1"/>
  <c r="T21" i="1"/>
  <c r="Q19" i="1"/>
  <c r="Q29" i="1" s="1"/>
  <c r="T18" i="1"/>
  <c r="T23" i="1" s="1"/>
  <c r="F18" i="1"/>
  <c r="F19" i="1" s="1"/>
  <c r="F22" i="1" s="1"/>
  <c r="C18" i="1"/>
  <c r="C19" i="1" s="1"/>
  <c r="N17" i="1"/>
  <c r="M17" i="1"/>
  <c r="L17" i="1"/>
  <c r="I17" i="1"/>
  <c r="I14" i="1" s="1"/>
  <c r="Q16" i="1"/>
  <c r="F16" i="1"/>
  <c r="T14" i="1"/>
  <c r="Q14" i="1"/>
  <c r="F14" i="1"/>
  <c r="Q13" i="1"/>
  <c r="N11" i="1"/>
  <c r="M11" i="1"/>
  <c r="N23" i="1" s="1"/>
  <c r="L11" i="1"/>
  <c r="I11" i="1"/>
  <c r="Q9" i="1"/>
  <c r="F8" i="1"/>
  <c r="C8" i="1"/>
  <c r="C10" i="1" s="1"/>
  <c r="Q7" i="1"/>
  <c r="Q6" i="1"/>
  <c r="F5" i="1"/>
  <c r="F6" i="1" s="1"/>
  <c r="F9" i="1" s="1"/>
  <c r="C5" i="1"/>
  <c r="C32" i="1" s="1"/>
  <c r="T3" i="1"/>
  <c r="T2" i="1"/>
  <c r="T28" i="1" l="1"/>
  <c r="T5" i="1"/>
  <c r="T32" i="1"/>
  <c r="T30" i="1"/>
  <c r="T31" i="1" s="1"/>
  <c r="Q20" i="1"/>
  <c r="Q5" i="1"/>
  <c r="Q8" i="1"/>
  <c r="Q10" i="1" s="1"/>
  <c r="T16" i="1"/>
  <c r="T15" i="1"/>
  <c r="C24" i="1"/>
  <c r="C25" i="1" s="1"/>
  <c r="I23" i="1"/>
  <c r="I5" i="1"/>
  <c r="I8" i="1"/>
  <c r="F21" i="1"/>
  <c r="C34" i="1"/>
  <c r="C33" i="1"/>
  <c r="C44" i="1"/>
  <c r="T7" i="1"/>
  <c r="C28" i="1"/>
  <c r="M34" i="1"/>
  <c r="T24" i="1"/>
  <c r="C6" i="1"/>
  <c r="C9" i="1" s="1"/>
  <c r="T19" i="1"/>
  <c r="T29" i="1" s="1"/>
  <c r="L23" i="1"/>
  <c r="M42" i="1"/>
  <c r="C14" i="1"/>
  <c r="M23" i="1"/>
  <c r="I26" i="1"/>
  <c r="I24" i="1" s="1"/>
  <c r="T20" i="1"/>
  <c r="T25" i="1" l="1"/>
  <c r="T26" i="1"/>
  <c r="C29" i="1"/>
  <c r="C30" i="1"/>
  <c r="C31" i="1" s="1"/>
  <c r="C46" i="1"/>
  <c r="C47" i="1" s="1"/>
  <c r="C45" i="1"/>
  <c r="Q18" i="1"/>
  <c r="Q21" i="1"/>
  <c r="C35" i="1"/>
  <c r="C40" i="1"/>
  <c r="C21" i="1"/>
  <c r="C16" i="1"/>
  <c r="C22" i="1" s="1"/>
  <c r="N38" i="1"/>
  <c r="M38" i="1"/>
  <c r="L38" i="1"/>
  <c r="T33" i="1"/>
  <c r="T34" i="1"/>
  <c r="T35" i="1" s="1"/>
  <c r="T6" i="1"/>
  <c r="T13" i="1" s="1"/>
  <c r="T8" i="1"/>
  <c r="T17" i="1" s="1"/>
  <c r="T11" i="1"/>
  <c r="I21" i="1"/>
  <c r="I18" i="1" s="1"/>
  <c r="I28" i="1" s="1"/>
  <c r="I30" i="1" s="1"/>
  <c r="C42" i="1" l="1"/>
  <c r="C43" i="1" s="1"/>
  <c r="C41" i="1"/>
  <c r="T10" i="1"/>
  <c r="T12" i="1"/>
</calcChain>
</file>

<file path=xl/sharedStrings.xml><?xml version="1.0" encoding="utf-8"?>
<sst xmlns="http://schemas.openxmlformats.org/spreadsheetml/2006/main" count="265" uniqueCount="191">
  <si>
    <t>Mast and spar calculations</t>
  </si>
  <si>
    <t>Beam (feet) =</t>
  </si>
  <si>
    <t>Line of Flotation (LOF) (feet)=</t>
  </si>
  <si>
    <t>Mast housing length (feet) =</t>
  </si>
  <si>
    <t xml:space="preserve">Load water line (LWL) (feet) = </t>
  </si>
  <si>
    <t>MM = Main Mast</t>
  </si>
  <si>
    <t>Bowsprit housing (feet)</t>
  </si>
  <si>
    <t>Min.</t>
  </si>
  <si>
    <t>Ave.</t>
  </si>
  <si>
    <t>Max.</t>
  </si>
  <si>
    <t>Hedderwick</t>
  </si>
  <si>
    <t>Main mast length (foot to head) (feet)</t>
  </si>
  <si>
    <t>Beam x 2.23</t>
  </si>
  <si>
    <t>Beam * 2.343</t>
  </si>
  <si>
    <t>Hounded + head</t>
  </si>
  <si>
    <t>Deck to top + housing</t>
  </si>
  <si>
    <t>(Beam * 3 + 1/3 LWL  + housing) * 2/3</t>
  </si>
  <si>
    <t>Main mast diameter (inches)</t>
  </si>
  <si>
    <t>MM Length / 3</t>
  </si>
  <si>
    <t>Length * 0.027 * 12</t>
  </si>
  <si>
    <t>Beam * 0.75</t>
  </si>
  <si>
    <t>1 inch for every 4 feet mast length</t>
  </si>
  <si>
    <t>Main mast length deck to top (feet)</t>
  </si>
  <si>
    <t>Beam * 2.25</t>
  </si>
  <si>
    <t>(Beam * 3 + 1/3 LWL  + housing) * 0.55</t>
  </si>
  <si>
    <t>Main mast head length (feet)</t>
  </si>
  <si>
    <t>(Mast length / 3) * 5 / 12</t>
  </si>
  <si>
    <t>Mast length * 0.15</t>
  </si>
  <si>
    <t>Hounded length  *0.12</t>
  </si>
  <si>
    <t>Deck to top / 6</t>
  </si>
  <si>
    <t>2/13 mast length</t>
  </si>
  <si>
    <t>Main mast head diameter (inches)</t>
  </si>
  <si>
    <t>Mast diameter * 3/4</t>
  </si>
  <si>
    <t>Mast diameter * 0.7</t>
  </si>
  <si>
    <t>Beam * 0.5</t>
  </si>
  <si>
    <t>Main mast hounds length (feet)</t>
  </si>
  <si>
    <t>2/3 mast head length</t>
  </si>
  <si>
    <t>[Deck to top - head]</t>
  </si>
  <si>
    <t>Main mast hounded (feet)</t>
  </si>
  <si>
    <t>Beam * 2.61</t>
  </si>
  <si>
    <t>Beam * 2.6-2.8</t>
  </si>
  <si>
    <t>[Total length - head]</t>
  </si>
  <si>
    <t>Main mast partners to hounds (feet)</t>
  </si>
  <si>
    <t>Main mast hounds diameter (inches)</t>
  </si>
  <si>
    <t>Diameter at deck * 0.875</t>
  </si>
  <si>
    <t>2/3 diameter at the partners</t>
  </si>
  <si>
    <t>Main topmast length (feet)</t>
  </si>
  <si>
    <t>MM length * 0.6</t>
  </si>
  <si>
    <t>Beam * 1.362</t>
  </si>
  <si>
    <t>Hounded + pole</t>
  </si>
  <si>
    <t>Beam * 1.5 * pole head</t>
  </si>
  <si>
    <t>1/2 length of the fore mast</t>
  </si>
  <si>
    <t>Main topmast pole head length (feet)</t>
  </si>
  <si>
    <t>Topmast length * 1/5</t>
  </si>
  <si>
    <t>1/6 the length of the top mast</t>
  </si>
  <si>
    <t>Main topmast diameter (inches)</t>
  </si>
  <si>
    <t>Length / 3</t>
  </si>
  <si>
    <t>Beam * 7/15</t>
  </si>
  <si>
    <t>1 inch for every 4 feet length</t>
  </si>
  <si>
    <t>Main topmast hounded (feet)</t>
  </si>
  <si>
    <t>Beam * 0.83</t>
  </si>
  <si>
    <t>Beam * 0.83-1.0</t>
  </si>
  <si>
    <t>Fore mast length (feet)</t>
  </si>
  <si>
    <t>MM length * 0.9</t>
  </si>
  <si>
    <t>Beam  * 2.11</t>
  </si>
  <si>
    <t>17/18 to 19/20 main mast length</t>
  </si>
  <si>
    <t>Fore mast diameter (inches)</t>
  </si>
  <si>
    <t>length / 3</t>
  </si>
  <si>
    <t>Main mast diameter * 11/12</t>
  </si>
  <si>
    <t>1 inch for every 3 1/2 foot length</t>
  </si>
  <si>
    <t>Fore mast length deck to top (feet)</t>
  </si>
  <si>
    <t>Main mast deck to top * 11/12</t>
  </si>
  <si>
    <t>[Total length - housing]</t>
  </si>
  <si>
    <t>Fore mast head length (feet)</t>
  </si>
  <si>
    <t>(Mast length / 3) * 5 /12</t>
  </si>
  <si>
    <t>Fore mast deck to top / 6</t>
  </si>
  <si>
    <t>1/5 mast length</t>
  </si>
  <si>
    <t>Fore mast head diameter (inches)</t>
  </si>
  <si>
    <t>Diameter at hounds * 7/8</t>
  </si>
  <si>
    <t>Fore mast hounded (foot to hounds)</t>
  </si>
  <si>
    <t>Main mast hounded * 0.92</t>
  </si>
  <si>
    <t>Main mast * 0.9-0.97</t>
  </si>
  <si>
    <t>Fore topmast length (feet)</t>
  </si>
  <si>
    <t>Fore mast * 0.6</t>
  </si>
  <si>
    <t>Beam * 1.25</t>
  </si>
  <si>
    <t>1/2 the length of the fore mast</t>
  </si>
  <si>
    <t>Fore topmast diameter (inches)</t>
  </si>
  <si>
    <t>Beam * 0.25</t>
  </si>
  <si>
    <t>Fore topmast hounded (feet)</t>
  </si>
  <si>
    <t>Main topmast hounded * 1</t>
  </si>
  <si>
    <t>[Length - head]</t>
  </si>
  <si>
    <t>Fore topmast hounds diameter (inches)</t>
  </si>
  <si>
    <t>Diameter at deck * 7/8</t>
  </si>
  <si>
    <t>Bowsprit length (feet)</t>
  </si>
  <si>
    <t>Beam  * 1.4</t>
  </si>
  <si>
    <t>Foremast * 0.49</t>
  </si>
  <si>
    <t>LOF * 0.33</t>
  </si>
  <si>
    <t>(Beam * 11/12) * 1.5</t>
  </si>
  <si>
    <t>(LWL / 3 + beam) / 2 + housing</t>
  </si>
  <si>
    <t>Bowsprit diameter (inches)</t>
  </si>
  <si>
    <t>(Length / 3) * 1 2/9"</t>
  </si>
  <si>
    <t>Length * 0.028 * 12</t>
  </si>
  <si>
    <t>Fore mast diameter</t>
  </si>
  <si>
    <t>Same as fore mast at partners</t>
  </si>
  <si>
    <t>Jib boom length (feet)</t>
  </si>
  <si>
    <t>Bowsprit length *0.715</t>
  </si>
  <si>
    <t>Beam  * 1.1</t>
  </si>
  <si>
    <t>Bowsprit * 0.87</t>
  </si>
  <si>
    <t>LOF * 0.4</t>
  </si>
  <si>
    <t>(Beam * 0.917) * 1.25</t>
  </si>
  <si>
    <t>((LWL/3 + beam)/2) * 7/6</t>
  </si>
  <si>
    <t>Jib boom diameter (inches)</t>
  </si>
  <si>
    <t>Length / 3 * 7/8</t>
  </si>
  <si>
    <t>Length * 0.022 * 12</t>
  </si>
  <si>
    <t>(Beam * 0.917) * 3/8</t>
  </si>
  <si>
    <t>1 inch for every 3 feet length</t>
  </si>
  <si>
    <t>Fore yard length (feet)</t>
  </si>
  <si>
    <t>MM * 8/9 * 0.875</t>
  </si>
  <si>
    <t>Beam * 1.707</t>
  </si>
  <si>
    <t>LOF * 0.572</t>
  </si>
  <si>
    <t>LOF * 0.48-0.57</t>
  </si>
  <si>
    <t>Beam * 2</t>
  </si>
  <si>
    <t>(LWL + beam) * 0.44</t>
  </si>
  <si>
    <t>Fore yard diameter (inches)</t>
  </si>
  <si>
    <t>Length / 3 * 7/10</t>
  </si>
  <si>
    <t>Length * 0.021 * 12</t>
  </si>
  <si>
    <t>Beam * 2/5</t>
  </si>
  <si>
    <t>3/14 length of yard</t>
  </si>
  <si>
    <t>Topsail yard length (feet)</t>
  </si>
  <si>
    <t>Fore yard * 0.714 *7/8</t>
  </si>
  <si>
    <t>Beam * 1.39</t>
  </si>
  <si>
    <t>Fore yard * 0.71</t>
  </si>
  <si>
    <t>Fore yard * 0.7-0.75</t>
  </si>
  <si>
    <t>Beam * 1/5</t>
  </si>
  <si>
    <t>3/4 fore yard length</t>
  </si>
  <si>
    <t>Topsail yard diameter (inches)</t>
  </si>
  <si>
    <t>Length / 3 * 5/8</t>
  </si>
  <si>
    <t>Length * 0.018 * 12</t>
  </si>
  <si>
    <t>Beam * 3/8</t>
  </si>
  <si>
    <t>Fore boom length (feet)</t>
  </si>
  <si>
    <t>Distance between fore and main masts</t>
  </si>
  <si>
    <t>Fore boom diameter (inches)</t>
  </si>
  <si>
    <t>Fore gaff length (feet)</t>
  </si>
  <si>
    <t>Main gaff * 0.73</t>
  </si>
  <si>
    <t>Main gaff * 0.73-1.0</t>
  </si>
  <si>
    <t>Fore gaff diameter (inches)</t>
  </si>
  <si>
    <t>Main boom (Driver) length (feet)</t>
  </si>
  <si>
    <t>3/5 topsail yard length</t>
  </si>
  <si>
    <t>Beam * 1.415</t>
  </si>
  <si>
    <t>LOF * 0.7</t>
  </si>
  <si>
    <t>LOF * 0.66-0.7</t>
  </si>
  <si>
    <t>Beam *1.75</t>
  </si>
  <si>
    <t>1.5 the distance from main mast to sheet</t>
  </si>
  <si>
    <t>Main boom diameter (inches)</t>
  </si>
  <si>
    <t>Length * 0.013 * 12</t>
  </si>
  <si>
    <t>Beam / 7.0625</t>
  </si>
  <si>
    <t>1 inch for evey 4.5 feet length</t>
  </si>
  <si>
    <t>Main gaff length (feet)</t>
  </si>
  <si>
    <t>Main boom length * 5/8</t>
  </si>
  <si>
    <t>Beam * 1.158</t>
  </si>
  <si>
    <t>Main boom * 0.53</t>
  </si>
  <si>
    <t>Main boom * 0.44-0.53</t>
  </si>
  <si>
    <t>2/3 length of boom</t>
  </si>
  <si>
    <t>Main gaff diameter (inches)</t>
  </si>
  <si>
    <t>Length * 0.01 *12</t>
  </si>
  <si>
    <t>Main boom diameter * 2/3</t>
  </si>
  <si>
    <t>Fore stunsail boom length (feet)</t>
  </si>
  <si>
    <t>Fore yard * 5/9</t>
  </si>
  <si>
    <t>Beam * 0.854</t>
  </si>
  <si>
    <t>Notes:</t>
  </si>
  <si>
    <t>Fore stunsail boom diameter (inches)</t>
  </si>
  <si>
    <t>Length / 5</t>
  </si>
  <si>
    <t>1. Lees data for British warships 1800-1815</t>
  </si>
  <si>
    <t>Fore stunsail yard length (feet)</t>
  </si>
  <si>
    <t>Boom length * 4/7</t>
  </si>
  <si>
    <t>Beam * 0.512</t>
  </si>
  <si>
    <t>2. Mondfeld's data for British warship 1800</t>
  </si>
  <si>
    <t>Fore stunsail yard diameter (inches)</t>
  </si>
  <si>
    <r>
      <t xml:space="preserve">3. Fincham's Rules for schooners from Chapelle's </t>
    </r>
    <r>
      <rPr>
        <i/>
        <sz val="12"/>
        <color theme="1"/>
        <rFont val="Arial"/>
        <family val="2"/>
      </rPr>
      <t>The Baltimore Clipper</t>
    </r>
  </si>
  <si>
    <t>Ringtail boom length (feet)</t>
  </si>
  <si>
    <r>
      <t xml:space="preserve">4. Rankine's variation for schooners of Fincham's Rules in </t>
    </r>
    <r>
      <rPr>
        <i/>
        <sz val="12"/>
        <color theme="1"/>
        <rFont val="Arial"/>
        <family val="2"/>
      </rPr>
      <t>The Baltimore Clipper</t>
    </r>
  </si>
  <si>
    <t>Ringtail boom diameter (inches)</t>
  </si>
  <si>
    <r>
      <t xml:space="preserve">5. Cock's rules for schooners in </t>
    </r>
    <r>
      <rPr>
        <i/>
        <sz val="12"/>
        <color theme="1"/>
        <rFont val="Arial"/>
        <family val="2"/>
      </rPr>
      <t>A Treatise on Mast Making</t>
    </r>
    <r>
      <rPr>
        <sz val="12"/>
        <color theme="1"/>
        <rFont val="Arial"/>
        <family val="2"/>
      </rPr>
      <t xml:space="preserve"> 1840</t>
    </r>
  </si>
  <si>
    <t>Ringtail yard length (feet)</t>
  </si>
  <si>
    <r>
      <t xml:space="preserve">6. Hedderwick's rules for schooners in </t>
    </r>
    <r>
      <rPr>
        <i/>
        <sz val="12"/>
        <color theme="1"/>
        <rFont val="Arial"/>
        <family val="2"/>
      </rPr>
      <t>A Treatise on Marine Architecture</t>
    </r>
    <r>
      <rPr>
        <sz val="12"/>
        <color theme="1"/>
        <rFont val="Arial"/>
        <family val="2"/>
      </rPr>
      <t xml:space="preserve"> 1830</t>
    </r>
  </si>
  <si>
    <t>Ringtail yard diameter (inches)</t>
  </si>
  <si>
    <t>Lees (ship)</t>
  </si>
  <si>
    <t>Mondfeld (ship)</t>
  </si>
  <si>
    <t>Fincham (schooner)</t>
  </si>
  <si>
    <t>Rankine (schooner)</t>
  </si>
  <si>
    <t>Cock (schooner)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</si>
</sst>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2"/>
      <color theme="1"/>
      <name val="Arial"/>
      <family val="2"/>
    </font>
    <font>
      <sz val="12"/>
      <color rgb="FF006100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8">
    <xf numFmtId="0" fontId="0" fillId="0" borderId="0" xfId="0"/>
    <xf numFmtId="2" fontId="0" fillId="0" borderId="0" xfId="0" applyNumberFormat="1"/>
    <xf numFmtId="0" fontId="2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2" fontId="2" fillId="0" borderId="0" xfId="0" applyNumberFormat="1" applyFont="1" applyAlignment="1">
      <alignment horizontal="center"/>
    </xf>
    <xf numFmtId="2" fontId="1" fillId="2" borderId="0" xfId="1" applyNumberFormat="1"/>
    <xf numFmtId="0" fontId="1" fillId="2" borderId="0" xfId="1"/>
  </cellXfs>
  <cellStyles count="2">
    <cellStyle name="Good" xfId="1" builtinId="2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1"/>
  <sheetViews>
    <sheetView tabSelected="1" zoomScale="80" zoomScaleNormal="80" workbookViewId="0">
      <selection activeCell="S1" sqref="S1"/>
    </sheetView>
  </sheetViews>
  <sheetFormatPr defaultRowHeight="15" x14ac:dyDescent="0.25"/>
  <cols>
    <col min="1" max="1" width="33.90625" customWidth="1"/>
    <col min="2" max="2" width="21.26953125" customWidth="1"/>
    <col min="3" max="3" width="6.7265625" customWidth="1"/>
    <col min="4" max="4" width="4.1796875" customWidth="1"/>
    <col min="5" max="5" width="19.08984375" customWidth="1"/>
    <col min="6" max="6" width="6.90625" customWidth="1"/>
    <col min="7" max="7" width="3.6328125" customWidth="1"/>
    <col min="8" max="8" width="25.1796875" customWidth="1"/>
    <col min="10" max="10" width="3.81640625" customWidth="1"/>
    <col min="11" max="11" width="19.453125" customWidth="1"/>
    <col min="12" max="12" width="7" customWidth="1"/>
    <col min="13" max="13" width="6.81640625" customWidth="1"/>
    <col min="14" max="14" width="7.36328125" customWidth="1"/>
    <col min="15" max="15" width="4.36328125" customWidth="1"/>
    <col min="16" max="16" width="32.1796875" customWidth="1"/>
    <col min="17" max="17" width="7" customWidth="1"/>
    <col min="18" max="18" width="3.7265625" customWidth="1"/>
    <col min="19" max="19" width="33.81640625" customWidth="1"/>
    <col min="20" max="20" width="7.36328125" customWidth="1"/>
    <col min="21" max="21" width="4.26953125" customWidth="1"/>
  </cols>
  <sheetData>
    <row r="1" spans="1:22" x14ac:dyDescent="0.25">
      <c r="A1" t="s">
        <v>0</v>
      </c>
    </row>
    <row r="2" spans="1:22" x14ac:dyDescent="0.25">
      <c r="B2" t="s">
        <v>1</v>
      </c>
      <c r="C2" s="6">
        <v>19.916</v>
      </c>
      <c r="D2" s="1"/>
      <c r="H2" t="s">
        <v>2</v>
      </c>
      <c r="I2" s="7">
        <v>64</v>
      </c>
      <c r="P2" t="s">
        <v>3</v>
      </c>
      <c r="Q2" s="7">
        <v>7.5</v>
      </c>
      <c r="S2" t="s">
        <v>4</v>
      </c>
      <c r="T2" s="6">
        <f>17.128*48/12</f>
        <v>68.512</v>
      </c>
    </row>
    <row r="3" spans="1:22" x14ac:dyDescent="0.25">
      <c r="A3" t="s">
        <v>5</v>
      </c>
      <c r="C3" s="1"/>
      <c r="D3" s="1"/>
      <c r="S3" t="s">
        <v>6</v>
      </c>
      <c r="T3" s="6">
        <f>2.5*48/12</f>
        <v>10</v>
      </c>
    </row>
    <row r="4" spans="1:22" ht="15.6" x14ac:dyDescent="0.3">
      <c r="B4" s="2" t="s">
        <v>186</v>
      </c>
      <c r="C4" s="1"/>
      <c r="D4" s="1"/>
      <c r="E4" s="2" t="s">
        <v>187</v>
      </c>
      <c r="H4" s="2" t="s">
        <v>188</v>
      </c>
      <c r="K4" s="2" t="s">
        <v>189</v>
      </c>
      <c r="L4" s="3" t="s">
        <v>7</v>
      </c>
      <c r="M4" s="3" t="s">
        <v>8</v>
      </c>
      <c r="N4" s="3" t="s">
        <v>9</v>
      </c>
      <c r="O4" s="3"/>
      <c r="P4" s="4" t="s">
        <v>190</v>
      </c>
      <c r="Q4" s="4"/>
      <c r="R4" s="4"/>
      <c r="S4" s="4" t="s">
        <v>10</v>
      </c>
      <c r="T4" s="5"/>
      <c r="U4" s="4"/>
      <c r="V4" s="3"/>
    </row>
    <row r="5" spans="1:22" x14ac:dyDescent="0.25">
      <c r="A5" t="s">
        <v>11</v>
      </c>
      <c r="B5" t="s">
        <v>12</v>
      </c>
      <c r="C5" s="1">
        <f>C2 * 2.23</f>
        <v>44.412680000000002</v>
      </c>
      <c r="D5" s="1"/>
      <c r="E5" t="s">
        <v>13</v>
      </c>
      <c r="F5" s="1">
        <f>C2*2.343</f>
        <v>46.663187999999998</v>
      </c>
      <c r="G5" s="1"/>
      <c r="H5" t="s">
        <v>14</v>
      </c>
      <c r="I5" s="1">
        <f>I11+I8</f>
        <v>58.218451199999997</v>
      </c>
      <c r="J5" s="1"/>
      <c r="M5" s="1"/>
      <c r="P5" t="s">
        <v>15</v>
      </c>
      <c r="Q5" s="1">
        <f>Q7+Q2</f>
        <v>52.311</v>
      </c>
      <c r="R5" s="1"/>
      <c r="S5" s="1" t="s">
        <v>16</v>
      </c>
      <c r="T5" s="1">
        <f>((C2*3)+(T2/3)+Q2)*2/3</f>
        <v>60.056888888888892</v>
      </c>
      <c r="V5" t="s">
        <v>11</v>
      </c>
    </row>
    <row r="6" spans="1:22" x14ac:dyDescent="0.25">
      <c r="A6" t="s">
        <v>17</v>
      </c>
      <c r="B6" t="s">
        <v>18</v>
      </c>
      <c r="C6" s="1">
        <f>C5/3</f>
        <v>14.804226666666667</v>
      </c>
      <c r="D6" s="1"/>
      <c r="E6" t="s">
        <v>19</v>
      </c>
      <c r="F6" s="1">
        <f>(F5*0.027)*12</f>
        <v>15.118872912</v>
      </c>
      <c r="G6" s="1"/>
      <c r="I6" s="1"/>
      <c r="J6" s="1"/>
      <c r="M6" s="1"/>
      <c r="P6" t="s">
        <v>20</v>
      </c>
      <c r="Q6" s="1">
        <f>C2*3/4</f>
        <v>14.937000000000001</v>
      </c>
      <c r="R6" s="1"/>
      <c r="S6" s="1" t="s">
        <v>21</v>
      </c>
      <c r="T6" s="1">
        <f>T5/4</f>
        <v>15.014222222222223</v>
      </c>
      <c r="V6" t="s">
        <v>17</v>
      </c>
    </row>
    <row r="7" spans="1:22" x14ac:dyDescent="0.25">
      <c r="A7" t="s">
        <v>22</v>
      </c>
      <c r="C7" s="1"/>
      <c r="D7" s="1"/>
      <c r="F7" s="1"/>
      <c r="G7" s="1"/>
      <c r="I7" s="1"/>
      <c r="J7" s="1"/>
      <c r="M7" s="1"/>
      <c r="P7" t="s">
        <v>23</v>
      </c>
      <c r="Q7" s="1">
        <f>C2*2.25</f>
        <v>44.811</v>
      </c>
      <c r="R7" s="1"/>
      <c r="S7" s="1" t="s">
        <v>24</v>
      </c>
      <c r="T7" s="1">
        <f>((C2*3)+(T2/3)+Q2)*0.55</f>
        <v>49.546933333333342</v>
      </c>
      <c r="V7" t="s">
        <v>22</v>
      </c>
    </row>
    <row r="8" spans="1:22" x14ac:dyDescent="0.25">
      <c r="A8" t="s">
        <v>25</v>
      </c>
      <c r="B8" t="s">
        <v>26</v>
      </c>
      <c r="C8" s="1">
        <f>(C5/3*5)/12</f>
        <v>6.1684277777777785</v>
      </c>
      <c r="D8" s="1"/>
      <c r="E8" t="s">
        <v>27</v>
      </c>
      <c r="F8" s="1">
        <f>F5*0.15</f>
        <v>6.9994781999999995</v>
      </c>
      <c r="G8" s="1"/>
      <c r="H8" t="s">
        <v>28</v>
      </c>
      <c r="I8" s="1">
        <f>I11*0.12</f>
        <v>6.2376911999999995</v>
      </c>
      <c r="J8" s="1"/>
      <c r="M8" s="1"/>
      <c r="P8" t="s">
        <v>29</v>
      </c>
      <c r="Q8" s="1">
        <f>Q7/6</f>
        <v>7.4684999999999997</v>
      </c>
      <c r="R8" s="1"/>
      <c r="S8" s="1" t="s">
        <v>30</v>
      </c>
      <c r="T8" s="1">
        <f>T5*2/13</f>
        <v>9.2395213675213679</v>
      </c>
      <c r="V8" t="s">
        <v>25</v>
      </c>
    </row>
    <row r="9" spans="1:22" x14ac:dyDescent="0.25">
      <c r="A9" t="s">
        <v>31</v>
      </c>
      <c r="B9" t="s">
        <v>32</v>
      </c>
      <c r="C9" s="1">
        <f>C6*0.75</f>
        <v>11.10317</v>
      </c>
      <c r="D9" s="1"/>
      <c r="E9" t="s">
        <v>33</v>
      </c>
      <c r="F9" s="1">
        <f>F6*0.7</f>
        <v>10.5832110384</v>
      </c>
      <c r="G9" s="1"/>
      <c r="I9" s="1"/>
      <c r="J9" s="1"/>
      <c r="M9" s="1"/>
      <c r="P9" t="s">
        <v>34</v>
      </c>
      <c r="Q9">
        <f>C2*0.5</f>
        <v>9.9580000000000002</v>
      </c>
      <c r="S9" s="1"/>
      <c r="T9" s="1"/>
      <c r="V9" t="s">
        <v>31</v>
      </c>
    </row>
    <row r="10" spans="1:22" x14ac:dyDescent="0.25">
      <c r="A10" t="s">
        <v>35</v>
      </c>
      <c r="B10" t="s">
        <v>36</v>
      </c>
      <c r="C10" s="1">
        <f>(C8/3)*2</f>
        <v>4.1122851851851854</v>
      </c>
      <c r="D10" s="1"/>
      <c r="F10" s="1"/>
      <c r="G10" s="1"/>
      <c r="I10" s="1"/>
      <c r="J10" s="1"/>
      <c r="M10" s="1"/>
      <c r="P10" t="s">
        <v>37</v>
      </c>
      <c r="Q10" s="1">
        <f>Q7-Q8</f>
        <v>37.342500000000001</v>
      </c>
      <c r="R10" s="1"/>
      <c r="S10" t="s">
        <v>37</v>
      </c>
      <c r="T10" s="1">
        <f>T7-T8</f>
        <v>40.307411965811973</v>
      </c>
      <c r="V10" t="s">
        <v>35</v>
      </c>
    </row>
    <row r="11" spans="1:22" x14ac:dyDescent="0.25">
      <c r="A11" t="s">
        <v>38</v>
      </c>
      <c r="C11" s="1"/>
      <c r="D11" s="1"/>
      <c r="F11" s="1"/>
      <c r="G11" s="1"/>
      <c r="H11" t="s">
        <v>39</v>
      </c>
      <c r="I11" s="1">
        <f>C2*2.61</f>
        <v>51.980759999999997</v>
      </c>
      <c r="J11" s="1"/>
      <c r="K11" t="s">
        <v>40</v>
      </c>
      <c r="L11" s="1">
        <f>C2*2.6</f>
        <v>51.781600000000005</v>
      </c>
      <c r="M11" s="1">
        <f>C2*(2.6+2.8)/2</f>
        <v>53.773200000000003</v>
      </c>
      <c r="N11" s="1">
        <f>C2*2.8</f>
        <v>55.764800000000001</v>
      </c>
      <c r="O11" s="1"/>
      <c r="P11" s="1"/>
      <c r="Q11" s="1"/>
      <c r="R11" s="1"/>
      <c r="S11" s="1" t="s">
        <v>41</v>
      </c>
      <c r="T11" s="1">
        <f>T5-T8</f>
        <v>50.817367521367522</v>
      </c>
      <c r="U11" s="1"/>
      <c r="V11" t="s">
        <v>38</v>
      </c>
    </row>
    <row r="12" spans="1:22" x14ac:dyDescent="0.25">
      <c r="A12" t="s">
        <v>42</v>
      </c>
      <c r="C12" s="1"/>
      <c r="D12" s="1"/>
      <c r="F12" s="1"/>
      <c r="G12" s="1"/>
      <c r="I12" s="1"/>
      <c r="J12" s="1"/>
      <c r="L12" s="1"/>
      <c r="M12" s="1"/>
      <c r="N12" s="1"/>
      <c r="O12" s="1"/>
      <c r="P12" s="1"/>
      <c r="Q12" s="1"/>
      <c r="R12" s="1"/>
      <c r="S12" s="1" t="s">
        <v>37</v>
      </c>
      <c r="T12" s="1">
        <f>T7-T8</f>
        <v>40.307411965811973</v>
      </c>
      <c r="U12" s="1"/>
      <c r="V12" t="s">
        <v>42</v>
      </c>
    </row>
    <row r="13" spans="1:22" x14ac:dyDescent="0.25">
      <c r="A13" t="s">
        <v>43</v>
      </c>
      <c r="C13" s="1"/>
      <c r="D13" s="1"/>
      <c r="F13" s="1"/>
      <c r="G13" s="1"/>
      <c r="I13" s="1"/>
      <c r="J13" s="1"/>
      <c r="L13" s="1"/>
      <c r="M13" s="1"/>
      <c r="N13" s="1"/>
      <c r="O13" s="1"/>
      <c r="P13" s="1" t="s">
        <v>44</v>
      </c>
      <c r="Q13" s="1">
        <f>Q6*0.875</f>
        <v>13.069875000000001</v>
      </c>
      <c r="R13" s="1"/>
      <c r="S13" s="1" t="s">
        <v>45</v>
      </c>
      <c r="T13" s="1">
        <f>T6*2/3</f>
        <v>10.009481481481481</v>
      </c>
      <c r="U13" s="1"/>
      <c r="V13" t="s">
        <v>43</v>
      </c>
    </row>
    <row r="14" spans="1:22" x14ac:dyDescent="0.25">
      <c r="A14" t="s">
        <v>46</v>
      </c>
      <c r="B14" t="s">
        <v>47</v>
      </c>
      <c r="C14" s="1">
        <f>C5*0.6</f>
        <v>26.647608000000002</v>
      </c>
      <c r="D14" s="1"/>
      <c r="E14" t="s">
        <v>48</v>
      </c>
      <c r="F14" s="1">
        <f>C2*1.362</f>
        <v>27.125592000000001</v>
      </c>
      <c r="G14" s="1"/>
      <c r="H14" t="s">
        <v>49</v>
      </c>
      <c r="I14" s="1">
        <f>I17+I17*0.5</f>
        <v>24.79542</v>
      </c>
      <c r="J14" s="1"/>
      <c r="L14" s="1"/>
      <c r="M14" s="1"/>
      <c r="N14" s="1"/>
      <c r="O14" s="1"/>
      <c r="P14" s="1" t="s">
        <v>50</v>
      </c>
      <c r="Q14" s="1">
        <f>C2*1.5</f>
        <v>29.874000000000002</v>
      </c>
      <c r="R14" s="1"/>
      <c r="S14" s="1" t="s">
        <v>51</v>
      </c>
      <c r="T14" s="1">
        <f>T18/2</f>
        <v>28.442499999999999</v>
      </c>
      <c r="U14" s="1"/>
      <c r="V14" t="s">
        <v>46</v>
      </c>
    </row>
    <row r="15" spans="1:22" x14ac:dyDescent="0.25">
      <c r="A15" t="s">
        <v>52</v>
      </c>
      <c r="C15" s="1"/>
      <c r="D15" s="1"/>
      <c r="F15" s="1"/>
      <c r="G15" s="1"/>
      <c r="I15" s="1"/>
      <c r="J15" s="1"/>
      <c r="L15" s="1"/>
      <c r="M15" s="1"/>
      <c r="N15" s="1"/>
      <c r="O15" s="1"/>
      <c r="P15" s="1" t="s">
        <v>53</v>
      </c>
      <c r="Q15" s="1"/>
      <c r="R15" s="1"/>
      <c r="S15" s="1" t="s">
        <v>54</v>
      </c>
      <c r="T15" s="1">
        <f>T14/6</f>
        <v>4.7404166666666665</v>
      </c>
      <c r="U15" s="1"/>
      <c r="V15" t="s">
        <v>52</v>
      </c>
    </row>
    <row r="16" spans="1:22" x14ac:dyDescent="0.25">
      <c r="A16" t="s">
        <v>55</v>
      </c>
      <c r="B16" t="s">
        <v>56</v>
      </c>
      <c r="C16" s="1">
        <f>C14/3</f>
        <v>8.882536</v>
      </c>
      <c r="D16" s="1"/>
      <c r="E16" t="s">
        <v>19</v>
      </c>
      <c r="F16" s="1">
        <f>(F14*0.027)*12</f>
        <v>8.7886918079999994</v>
      </c>
      <c r="G16" s="1"/>
      <c r="I16" s="1"/>
      <c r="J16" s="1"/>
      <c r="L16" s="1"/>
      <c r="M16" s="1"/>
      <c r="N16" s="1"/>
      <c r="O16" s="1"/>
      <c r="P16" s="1" t="s">
        <v>57</v>
      </c>
      <c r="Q16" s="1">
        <f>C2*7/15</f>
        <v>9.2941333333333329</v>
      </c>
      <c r="R16" s="1"/>
      <c r="S16" s="1" t="s">
        <v>58</v>
      </c>
      <c r="T16" s="1">
        <f>T14/4</f>
        <v>7.1106249999999998</v>
      </c>
      <c r="U16" s="1"/>
      <c r="V16" t="s">
        <v>55</v>
      </c>
    </row>
    <row r="17" spans="1:22" x14ac:dyDescent="0.25">
      <c r="A17" t="s">
        <v>59</v>
      </c>
      <c r="C17" s="1"/>
      <c r="D17" s="1"/>
      <c r="F17" s="1"/>
      <c r="G17" s="1"/>
      <c r="H17" t="s">
        <v>60</v>
      </c>
      <c r="I17" s="1">
        <f>C2*0.83</f>
        <v>16.530280000000001</v>
      </c>
      <c r="J17" s="1"/>
      <c r="K17" t="s">
        <v>61</v>
      </c>
      <c r="L17" s="1">
        <f>C2*0.83</f>
        <v>16.530280000000001</v>
      </c>
      <c r="M17" s="1">
        <f>C2*(0.83+1)/2</f>
        <v>18.223140000000001</v>
      </c>
      <c r="N17" s="1">
        <f>C2</f>
        <v>19.916</v>
      </c>
      <c r="O17" s="1"/>
      <c r="P17" s="1"/>
      <c r="Q17" s="1"/>
      <c r="R17" s="1"/>
      <c r="S17" s="1" t="s">
        <v>41</v>
      </c>
      <c r="T17" s="1">
        <f>T14-T8</f>
        <v>19.202978632478633</v>
      </c>
      <c r="U17" s="1"/>
      <c r="V17" t="s">
        <v>59</v>
      </c>
    </row>
    <row r="18" spans="1:22" x14ac:dyDescent="0.25">
      <c r="A18" t="s">
        <v>62</v>
      </c>
      <c r="B18" t="s">
        <v>63</v>
      </c>
      <c r="C18" s="1">
        <f>C5*0.9</f>
        <v>39.971412000000001</v>
      </c>
      <c r="D18" s="1"/>
      <c r="E18" t="s">
        <v>64</v>
      </c>
      <c r="F18" s="1">
        <f>C2*2.11</f>
        <v>42.022759999999998</v>
      </c>
      <c r="G18" s="1"/>
      <c r="H18" t="s">
        <v>14</v>
      </c>
      <c r="I18" s="1">
        <f>I23+I21</f>
        <v>53.560975103999994</v>
      </c>
      <c r="J18" s="1"/>
      <c r="L18" s="1"/>
      <c r="M18" s="1"/>
      <c r="N18" s="1"/>
      <c r="O18" s="1"/>
      <c r="P18" t="s">
        <v>15</v>
      </c>
      <c r="Q18" s="1">
        <f>Q20+Q2</f>
        <v>48.576749999999997</v>
      </c>
      <c r="R18" s="1"/>
      <c r="S18" s="1" t="s">
        <v>65</v>
      </c>
      <c r="T18" s="1">
        <f>(56.72+57.05)/2</f>
        <v>56.884999999999998</v>
      </c>
      <c r="U18" s="1"/>
      <c r="V18" t="s">
        <v>62</v>
      </c>
    </row>
    <row r="19" spans="1:22" x14ac:dyDescent="0.25">
      <c r="A19" t="s">
        <v>66</v>
      </c>
      <c r="B19" t="s">
        <v>67</v>
      </c>
      <c r="C19" s="1">
        <f>C18/3</f>
        <v>13.323804000000001</v>
      </c>
      <c r="D19" s="1"/>
      <c r="E19" t="s">
        <v>19</v>
      </c>
      <c r="F19" s="1">
        <f>(F18*0.027)*12</f>
        <v>13.61537424</v>
      </c>
      <c r="G19" s="1"/>
      <c r="I19" s="1"/>
      <c r="J19" s="1"/>
      <c r="L19" s="1"/>
      <c r="M19" s="1"/>
      <c r="N19" s="1"/>
      <c r="O19" s="1"/>
      <c r="P19" s="1" t="s">
        <v>68</v>
      </c>
      <c r="Q19" s="1">
        <f>Q6*11/12</f>
        <v>13.692250000000001</v>
      </c>
      <c r="R19" s="1"/>
      <c r="S19" s="1" t="s">
        <v>69</v>
      </c>
      <c r="T19" s="1">
        <f>T18/3.5</f>
        <v>16.252857142857142</v>
      </c>
      <c r="U19" s="1"/>
      <c r="V19" t="s">
        <v>66</v>
      </c>
    </row>
    <row r="20" spans="1:22" x14ac:dyDescent="0.25">
      <c r="A20" t="s">
        <v>70</v>
      </c>
      <c r="C20" s="1"/>
      <c r="D20" s="1"/>
      <c r="F20" s="1"/>
      <c r="G20" s="1"/>
      <c r="I20" s="1"/>
      <c r="J20" s="1"/>
      <c r="L20" s="1"/>
      <c r="M20" s="1"/>
      <c r="N20" s="1"/>
      <c r="O20" s="1"/>
      <c r="P20" s="1" t="s">
        <v>71</v>
      </c>
      <c r="Q20" s="1">
        <f>Q7*11/12</f>
        <v>41.076749999999997</v>
      </c>
      <c r="R20" s="1"/>
      <c r="S20" s="1" t="s">
        <v>72</v>
      </c>
      <c r="T20" s="1">
        <f>T18-Q2</f>
        <v>49.384999999999998</v>
      </c>
      <c r="U20" s="1"/>
      <c r="V20" t="s">
        <v>70</v>
      </c>
    </row>
    <row r="21" spans="1:22" x14ac:dyDescent="0.25">
      <c r="A21" t="s">
        <v>73</v>
      </c>
      <c r="B21" t="s">
        <v>74</v>
      </c>
      <c r="C21" s="1">
        <f>(C14/3)*5/12</f>
        <v>3.7010566666666667</v>
      </c>
      <c r="D21" s="1"/>
      <c r="E21" t="s">
        <v>27</v>
      </c>
      <c r="F21" s="1">
        <f>F18*0.15</f>
        <v>6.3034139999999992</v>
      </c>
      <c r="G21" s="1"/>
      <c r="H21" t="s">
        <v>28</v>
      </c>
      <c r="I21" s="1">
        <f>I23*0.12</f>
        <v>5.7386759039999991</v>
      </c>
      <c r="J21" s="1"/>
      <c r="L21" s="1"/>
      <c r="M21" s="1"/>
      <c r="N21" s="1"/>
      <c r="O21" s="1"/>
      <c r="P21" s="1" t="s">
        <v>75</v>
      </c>
      <c r="Q21" s="1">
        <f>Q20/6</f>
        <v>6.8461249999999998</v>
      </c>
      <c r="R21" s="1"/>
      <c r="S21" s="1" t="s">
        <v>76</v>
      </c>
      <c r="T21" s="1">
        <f>T18/5</f>
        <v>11.376999999999999</v>
      </c>
      <c r="U21" s="1"/>
      <c r="V21" t="s">
        <v>73</v>
      </c>
    </row>
    <row r="22" spans="1:22" x14ac:dyDescent="0.25">
      <c r="A22" t="s">
        <v>77</v>
      </c>
      <c r="B22" t="s">
        <v>32</v>
      </c>
      <c r="C22" s="1">
        <f>C16*0.75</f>
        <v>6.6619019999999995</v>
      </c>
      <c r="D22" s="1"/>
      <c r="E22" t="s">
        <v>33</v>
      </c>
      <c r="F22" s="1">
        <f>F19*0.7</f>
        <v>9.5307619679999984</v>
      </c>
      <c r="G22" s="1"/>
      <c r="I22" s="1"/>
      <c r="J22" s="1"/>
      <c r="L22" s="1"/>
      <c r="M22" s="1"/>
      <c r="N22" s="1"/>
      <c r="O22" s="1"/>
      <c r="P22" s="1" t="s">
        <v>78</v>
      </c>
      <c r="Q22" s="1">
        <f>Q27*7/8</f>
        <v>10.483128906250002</v>
      </c>
      <c r="R22" s="1"/>
      <c r="S22" s="1"/>
      <c r="T22" s="1"/>
      <c r="U22" s="1"/>
      <c r="V22" t="s">
        <v>77</v>
      </c>
    </row>
    <row r="23" spans="1:22" x14ac:dyDescent="0.25">
      <c r="A23" t="s">
        <v>79</v>
      </c>
      <c r="C23" s="1"/>
      <c r="D23" s="1"/>
      <c r="F23" s="1"/>
      <c r="G23" s="1"/>
      <c r="H23" t="s">
        <v>80</v>
      </c>
      <c r="I23" s="1">
        <f>I11*0.92</f>
        <v>47.822299199999996</v>
      </c>
      <c r="J23" s="1"/>
      <c r="K23" t="s">
        <v>81</v>
      </c>
      <c r="L23" s="1">
        <f>M11*0.9</f>
        <v>48.395880000000005</v>
      </c>
      <c r="M23" s="1">
        <f>M11*(0.9+0.97)/2</f>
        <v>50.277942000000003</v>
      </c>
      <c r="N23" s="1">
        <f>M11*0.97</f>
        <v>52.160004000000001</v>
      </c>
      <c r="O23" s="1"/>
      <c r="P23" s="1"/>
      <c r="Q23" s="1"/>
      <c r="R23" s="1"/>
      <c r="S23" s="1" t="s">
        <v>41</v>
      </c>
      <c r="T23" s="1">
        <f>T18-T21</f>
        <v>45.507999999999996</v>
      </c>
      <c r="U23" s="1"/>
      <c r="V23" t="s">
        <v>79</v>
      </c>
    </row>
    <row r="24" spans="1:22" x14ac:dyDescent="0.25">
      <c r="A24" t="s">
        <v>82</v>
      </c>
      <c r="B24" t="s">
        <v>83</v>
      </c>
      <c r="C24" s="1">
        <f>C18*0.6</f>
        <v>23.982847199999998</v>
      </c>
      <c r="D24" s="1"/>
      <c r="E24" t="s">
        <v>84</v>
      </c>
      <c r="F24" s="1">
        <f>C2*1.25</f>
        <v>24.895</v>
      </c>
      <c r="G24" s="1"/>
      <c r="H24" t="s">
        <v>49</v>
      </c>
      <c r="I24" s="1">
        <f>I26+I26*0.5</f>
        <v>24.79542</v>
      </c>
      <c r="J24" s="1"/>
      <c r="L24" s="1"/>
      <c r="M24" s="1"/>
      <c r="N24" s="1"/>
      <c r="O24" s="1"/>
      <c r="P24" s="1" t="s">
        <v>84</v>
      </c>
      <c r="Q24" s="1">
        <f>C2*1.25</f>
        <v>24.895</v>
      </c>
      <c r="R24" s="1"/>
      <c r="S24" s="1" t="s">
        <v>85</v>
      </c>
      <c r="T24" s="1">
        <f>T18/2</f>
        <v>28.442499999999999</v>
      </c>
      <c r="U24" s="1"/>
      <c r="V24" t="s">
        <v>82</v>
      </c>
    </row>
    <row r="25" spans="1:22" x14ac:dyDescent="0.25">
      <c r="A25" t="s">
        <v>86</v>
      </c>
      <c r="B25" t="s">
        <v>56</v>
      </c>
      <c r="C25" s="1">
        <f>C24/3</f>
        <v>7.9942823999999995</v>
      </c>
      <c r="D25" s="1"/>
      <c r="E25" t="s">
        <v>19</v>
      </c>
      <c r="F25" s="1">
        <f>(F24*0.027)*12</f>
        <v>8.0659799999999997</v>
      </c>
      <c r="G25" s="1"/>
      <c r="I25" s="1"/>
      <c r="J25" s="1"/>
      <c r="L25" s="1"/>
      <c r="M25" s="1"/>
      <c r="N25" s="1"/>
      <c r="O25" s="1"/>
      <c r="P25" s="1" t="s">
        <v>87</v>
      </c>
      <c r="Q25" s="1">
        <f>C2*0.25</f>
        <v>4.9790000000000001</v>
      </c>
      <c r="R25" s="1"/>
      <c r="S25" s="1" t="s">
        <v>58</v>
      </c>
      <c r="T25" s="1">
        <f>T24/4</f>
        <v>7.1106249999999998</v>
      </c>
      <c r="U25" s="1"/>
      <c r="V25" t="s">
        <v>86</v>
      </c>
    </row>
    <row r="26" spans="1:22" x14ac:dyDescent="0.25">
      <c r="A26" t="s">
        <v>88</v>
      </c>
      <c r="C26" s="1"/>
      <c r="D26" s="1"/>
      <c r="F26" s="1"/>
      <c r="G26" s="1"/>
      <c r="H26" t="s">
        <v>89</v>
      </c>
      <c r="I26" s="1">
        <f>I17</f>
        <v>16.530280000000001</v>
      </c>
      <c r="J26" s="1"/>
      <c r="K26" t="s">
        <v>61</v>
      </c>
      <c r="L26" s="1">
        <f>C2*0.83</f>
        <v>16.530280000000001</v>
      </c>
      <c r="M26" s="1">
        <f>C2*(0.83+1)/2</f>
        <v>18.223140000000001</v>
      </c>
      <c r="N26" s="1">
        <f>C2</f>
        <v>19.916</v>
      </c>
      <c r="O26" s="1"/>
      <c r="P26" s="1"/>
      <c r="Q26" s="1"/>
      <c r="R26" s="1"/>
      <c r="S26" s="1" t="s">
        <v>90</v>
      </c>
      <c r="T26" s="1">
        <f>T24-T21</f>
        <v>17.0655</v>
      </c>
      <c r="U26" s="1"/>
      <c r="V26" t="s">
        <v>88</v>
      </c>
    </row>
    <row r="27" spans="1:22" x14ac:dyDescent="0.25">
      <c r="A27" t="s">
        <v>91</v>
      </c>
      <c r="C27" s="1"/>
      <c r="D27" s="1"/>
      <c r="F27" s="1"/>
      <c r="G27" s="1"/>
      <c r="I27" s="1"/>
      <c r="J27" s="1"/>
      <c r="L27" s="1"/>
      <c r="M27" s="1"/>
      <c r="N27" s="1"/>
      <c r="O27" s="1"/>
      <c r="P27" s="1" t="s">
        <v>92</v>
      </c>
      <c r="Q27" s="1">
        <f>Q19*7/8</f>
        <v>11.980718750000001</v>
      </c>
      <c r="R27" s="1"/>
      <c r="S27" s="1"/>
      <c r="T27" s="1"/>
      <c r="U27" s="1"/>
      <c r="V27" t="s">
        <v>91</v>
      </c>
    </row>
    <row r="28" spans="1:22" x14ac:dyDescent="0.25">
      <c r="A28" t="s">
        <v>93</v>
      </c>
      <c r="B28" t="s">
        <v>47</v>
      </c>
      <c r="C28" s="1">
        <f>C5*0.6</f>
        <v>26.647608000000002</v>
      </c>
      <c r="D28" s="1"/>
      <c r="E28" t="s">
        <v>94</v>
      </c>
      <c r="F28" s="1">
        <f>C2*1.4</f>
        <v>27.882400000000001</v>
      </c>
      <c r="G28" s="1"/>
      <c r="H28" t="s">
        <v>95</v>
      </c>
      <c r="I28" s="1">
        <f>I18*0.49</f>
        <v>26.244877800959998</v>
      </c>
      <c r="J28" s="1"/>
      <c r="K28" t="s">
        <v>96</v>
      </c>
      <c r="L28" s="1"/>
      <c r="M28" s="1">
        <f>I2*0.33</f>
        <v>21.12</v>
      </c>
      <c r="N28" s="1"/>
      <c r="O28" s="1"/>
      <c r="P28" s="1" t="s">
        <v>97</v>
      </c>
      <c r="Q28" s="1">
        <f>(C2*11/12)*1.5</f>
        <v>27.384500000000003</v>
      </c>
      <c r="R28" s="1"/>
      <c r="S28" t="s">
        <v>98</v>
      </c>
      <c r="T28" s="1">
        <f>((T2/3+C2)/2)+T3</f>
        <v>31.376666666666665</v>
      </c>
      <c r="U28" s="1"/>
      <c r="V28" t="s">
        <v>93</v>
      </c>
    </row>
    <row r="29" spans="1:22" x14ac:dyDescent="0.25">
      <c r="A29" t="s">
        <v>99</v>
      </c>
      <c r="B29" t="s">
        <v>100</v>
      </c>
      <c r="C29" s="1">
        <f>(C28/3)*(1+2/9)</f>
        <v>10.856432888888889</v>
      </c>
      <c r="D29" s="1"/>
      <c r="E29" t="s">
        <v>101</v>
      </c>
      <c r="F29" s="1">
        <f>(F28*0.028)*12</f>
        <v>9.3684864000000001</v>
      </c>
      <c r="G29" s="1"/>
      <c r="I29" s="1"/>
      <c r="J29" s="1"/>
      <c r="L29" s="1"/>
      <c r="M29" s="1"/>
      <c r="N29" s="1"/>
      <c r="O29" s="1"/>
      <c r="P29" s="1" t="s">
        <v>102</v>
      </c>
      <c r="Q29" s="1">
        <f>Q19</f>
        <v>13.692250000000001</v>
      </c>
      <c r="R29" s="1"/>
      <c r="S29" s="1" t="s">
        <v>103</v>
      </c>
      <c r="T29" s="1">
        <f>T19</f>
        <v>16.252857142857142</v>
      </c>
      <c r="U29" s="1"/>
      <c r="V29" t="s">
        <v>99</v>
      </c>
    </row>
    <row r="30" spans="1:22" x14ac:dyDescent="0.25">
      <c r="A30" t="s">
        <v>104</v>
      </c>
      <c r="B30" t="s">
        <v>105</v>
      </c>
      <c r="C30" s="1">
        <f>C28*0.715</f>
        <v>19.053039720000001</v>
      </c>
      <c r="D30" s="1"/>
      <c r="E30" t="s">
        <v>106</v>
      </c>
      <c r="F30" s="1">
        <f>C2*1.1</f>
        <v>21.907600000000002</v>
      </c>
      <c r="G30" s="1"/>
      <c r="H30" t="s">
        <v>107</v>
      </c>
      <c r="I30" s="1">
        <f>I28*0.87</f>
        <v>22.833043686835197</v>
      </c>
      <c r="J30" s="1"/>
      <c r="K30" t="s">
        <v>108</v>
      </c>
      <c r="L30" s="1"/>
      <c r="M30" s="1">
        <f>I2*0.4</f>
        <v>25.6</v>
      </c>
      <c r="N30" s="1"/>
      <c r="O30" s="1"/>
      <c r="P30" s="1" t="s">
        <v>109</v>
      </c>
      <c r="Q30" s="1">
        <f>(C2*0.917)*1.25</f>
        <v>22.828715000000003</v>
      </c>
      <c r="R30" s="1"/>
      <c r="S30" s="1" t="s">
        <v>110</v>
      </c>
      <c r="T30" s="1">
        <f>((T2/3+C2)/2)*7/6</f>
        <v>24.939444444444444</v>
      </c>
      <c r="U30" s="1"/>
      <c r="V30" t="s">
        <v>104</v>
      </c>
    </row>
    <row r="31" spans="1:22" x14ac:dyDescent="0.25">
      <c r="A31" t="s">
        <v>111</v>
      </c>
      <c r="B31" t="s">
        <v>112</v>
      </c>
      <c r="C31" s="1">
        <f>(C30/3)*7/8</f>
        <v>5.5571365850000003</v>
      </c>
      <c r="D31" s="1"/>
      <c r="E31" t="s">
        <v>113</v>
      </c>
      <c r="F31" s="1">
        <f>(F30*0.022)*12</f>
        <v>5.7836064</v>
      </c>
      <c r="G31" s="1"/>
      <c r="I31" s="1"/>
      <c r="J31" s="1"/>
      <c r="L31" s="1"/>
      <c r="M31" s="1"/>
      <c r="N31" s="1"/>
      <c r="O31" s="1"/>
      <c r="P31" s="1" t="s">
        <v>114</v>
      </c>
      <c r="Q31" s="1">
        <f>(C2*0.917)*3/8</f>
        <v>6.8486145</v>
      </c>
      <c r="R31" s="1"/>
      <c r="S31" s="1" t="s">
        <v>115</v>
      </c>
      <c r="T31" s="1">
        <f>T30/3</f>
        <v>8.313148148148148</v>
      </c>
      <c r="U31" s="1"/>
      <c r="V31" t="s">
        <v>111</v>
      </c>
    </row>
    <row r="32" spans="1:22" x14ac:dyDescent="0.25">
      <c r="A32" t="s">
        <v>116</v>
      </c>
      <c r="B32" t="s">
        <v>117</v>
      </c>
      <c r="C32" s="1">
        <f>(C5*8/9)*0.875</f>
        <v>34.543195555555556</v>
      </c>
      <c r="D32" s="1"/>
      <c r="E32" t="s">
        <v>118</v>
      </c>
      <c r="F32" s="1">
        <f>C2*1.707</f>
        <v>33.996611999999999</v>
      </c>
      <c r="G32" s="1"/>
      <c r="H32" t="s">
        <v>119</v>
      </c>
      <c r="I32" s="1">
        <f>I2*0.572</f>
        <v>36.607999999999997</v>
      </c>
      <c r="J32" s="1"/>
      <c r="K32" t="s">
        <v>120</v>
      </c>
      <c r="L32" s="1">
        <f>I2*0.48</f>
        <v>30.72</v>
      </c>
      <c r="M32" s="1">
        <f>I2*(0.47+0.57)/2</f>
        <v>33.28</v>
      </c>
      <c r="N32" s="1">
        <f>I2*0.57</f>
        <v>36.479999999999997</v>
      </c>
      <c r="O32" s="1"/>
      <c r="P32" s="1" t="s">
        <v>121</v>
      </c>
      <c r="Q32" s="1">
        <f>C2*2</f>
        <v>39.832000000000001</v>
      </c>
      <c r="R32" s="1"/>
      <c r="S32" s="1" t="s">
        <v>122</v>
      </c>
      <c r="T32" s="1">
        <f>(T2+C2)*0.44</f>
        <v>38.908319999999996</v>
      </c>
      <c r="U32" s="1"/>
      <c r="V32" t="s">
        <v>116</v>
      </c>
    </row>
    <row r="33" spans="1:22" x14ac:dyDescent="0.25">
      <c r="A33" t="s">
        <v>123</v>
      </c>
      <c r="B33" t="s">
        <v>124</v>
      </c>
      <c r="C33" s="1">
        <f>(C32/3)*7/10</f>
        <v>8.0600789629629634</v>
      </c>
      <c r="D33" s="1"/>
      <c r="E33" t="s">
        <v>125</v>
      </c>
      <c r="F33" s="1">
        <f>(F32*0.021)*12</f>
        <v>8.567146224</v>
      </c>
      <c r="G33" s="1"/>
      <c r="I33" s="1"/>
      <c r="J33" s="1"/>
      <c r="L33" s="1"/>
      <c r="M33" s="1"/>
      <c r="N33" s="1"/>
      <c r="O33" s="1"/>
      <c r="P33" s="1" t="s">
        <v>126</v>
      </c>
      <c r="Q33" s="1">
        <f>C2*2/5</f>
        <v>7.9664000000000001</v>
      </c>
      <c r="R33" s="1"/>
      <c r="S33" s="1" t="s">
        <v>127</v>
      </c>
      <c r="T33" s="1">
        <f>T32*3/14</f>
        <v>8.3374971428571421</v>
      </c>
      <c r="U33" s="1"/>
      <c r="V33" t="s">
        <v>123</v>
      </c>
    </row>
    <row r="34" spans="1:22" x14ac:dyDescent="0.25">
      <c r="A34" t="s">
        <v>128</v>
      </c>
      <c r="B34" t="s">
        <v>129</v>
      </c>
      <c r="C34" s="1">
        <f>(C32*0.714)*7/8</f>
        <v>21.580861423333332</v>
      </c>
      <c r="D34" s="1"/>
      <c r="E34" t="s">
        <v>130</v>
      </c>
      <c r="F34" s="1">
        <f>C2*1.39</f>
        <v>27.683239999999998</v>
      </c>
      <c r="G34" s="1"/>
      <c r="H34" t="s">
        <v>131</v>
      </c>
      <c r="I34" s="1">
        <f>I32*0.71</f>
        <v>25.991679999999995</v>
      </c>
      <c r="J34" s="1"/>
      <c r="K34" t="s">
        <v>132</v>
      </c>
      <c r="L34" s="1">
        <f>M32*0.7</f>
        <v>23.295999999999999</v>
      </c>
      <c r="M34" s="1">
        <f>M32*(0.7+0.75)/2</f>
        <v>24.128</v>
      </c>
      <c r="N34" s="1">
        <f>M32*0.75</f>
        <v>24.96</v>
      </c>
      <c r="O34" s="1"/>
      <c r="P34" s="1" t="s">
        <v>133</v>
      </c>
      <c r="Q34" s="1">
        <f>C2*1.5</f>
        <v>29.874000000000002</v>
      </c>
      <c r="R34" s="1"/>
      <c r="S34" s="1" t="s">
        <v>134</v>
      </c>
      <c r="T34" s="1">
        <f>T32*3/4</f>
        <v>29.181239999999995</v>
      </c>
      <c r="U34" s="1"/>
      <c r="V34" t="s">
        <v>128</v>
      </c>
    </row>
    <row r="35" spans="1:22" x14ac:dyDescent="0.25">
      <c r="A35" t="s">
        <v>135</v>
      </c>
      <c r="B35" t="s">
        <v>136</v>
      </c>
      <c r="C35" s="1">
        <f>(C34/3)*5/8</f>
        <v>4.4960127965277774</v>
      </c>
      <c r="D35" s="1"/>
      <c r="E35" t="s">
        <v>137</v>
      </c>
      <c r="F35" s="1">
        <f>(F34*0.018)*12</f>
        <v>5.9795798399999986</v>
      </c>
      <c r="G35" s="1"/>
      <c r="I35" s="1"/>
      <c r="J35" s="1"/>
      <c r="L35" s="1"/>
      <c r="M35" s="1"/>
      <c r="N35" s="1"/>
      <c r="O35" s="1"/>
      <c r="P35" s="1" t="s">
        <v>138</v>
      </c>
      <c r="Q35" s="1">
        <f>C2*3/8</f>
        <v>7.4685000000000006</v>
      </c>
      <c r="R35" s="1"/>
      <c r="S35" s="1" t="s">
        <v>127</v>
      </c>
      <c r="T35" s="1">
        <f>T34*3/14</f>
        <v>6.2531228571428557</v>
      </c>
      <c r="U35" s="1"/>
      <c r="V35" t="s">
        <v>135</v>
      </c>
    </row>
    <row r="36" spans="1:22" x14ac:dyDescent="0.25">
      <c r="A36" t="s">
        <v>139</v>
      </c>
      <c r="C36" s="1"/>
      <c r="D36" s="1"/>
      <c r="F36" s="1"/>
      <c r="G36" s="1"/>
      <c r="I36" s="1"/>
      <c r="J36" s="1"/>
      <c r="L36" s="1"/>
      <c r="M36" s="1"/>
      <c r="N36" s="1"/>
      <c r="O36" s="1"/>
      <c r="P36" s="1" t="s">
        <v>140</v>
      </c>
      <c r="Q36" s="1"/>
      <c r="R36" s="1"/>
      <c r="S36" s="1"/>
      <c r="T36" s="1"/>
      <c r="U36" s="1"/>
      <c r="V36" t="s">
        <v>139</v>
      </c>
    </row>
    <row r="37" spans="1:22" x14ac:dyDescent="0.25">
      <c r="A37" t="s">
        <v>141</v>
      </c>
      <c r="C37" s="1"/>
      <c r="D37" s="1"/>
      <c r="F37" s="1"/>
      <c r="G37" s="1"/>
      <c r="I37" s="1"/>
      <c r="J37" s="1"/>
      <c r="L37" s="1"/>
      <c r="M37" s="1"/>
      <c r="N37" s="1"/>
      <c r="O37" s="1"/>
      <c r="P37" s="1" t="s">
        <v>138</v>
      </c>
      <c r="Q37" s="1">
        <f>C2*3/8</f>
        <v>7.4685000000000006</v>
      </c>
      <c r="R37" s="1"/>
      <c r="S37" s="1"/>
      <c r="T37" s="1"/>
      <c r="U37" s="1"/>
      <c r="V37" t="s">
        <v>141</v>
      </c>
    </row>
    <row r="38" spans="1:22" x14ac:dyDescent="0.25">
      <c r="A38" t="s">
        <v>142</v>
      </c>
      <c r="C38" s="1"/>
      <c r="D38" s="1"/>
      <c r="F38" s="1"/>
      <c r="G38" s="1"/>
      <c r="H38" t="s">
        <v>143</v>
      </c>
      <c r="I38" s="1">
        <f>I42*0.73</f>
        <v>17.333120000000001</v>
      </c>
      <c r="J38" s="1"/>
      <c r="K38" t="s">
        <v>144</v>
      </c>
      <c r="L38" s="1">
        <f>M42*0.73</f>
        <v>15.408255999999998</v>
      </c>
      <c r="M38" s="1">
        <f>M42*(0.73+1)/2</f>
        <v>18.257728</v>
      </c>
      <c r="N38" s="1">
        <f>M42</f>
        <v>21.107199999999999</v>
      </c>
      <c r="O38" s="1"/>
      <c r="P38" s="1" t="s">
        <v>140</v>
      </c>
      <c r="Q38" s="1"/>
      <c r="R38" s="1"/>
      <c r="S38" s="1"/>
      <c r="T38" s="1"/>
      <c r="U38" s="1"/>
      <c r="V38" t="s">
        <v>142</v>
      </c>
    </row>
    <row r="39" spans="1:22" x14ac:dyDescent="0.25">
      <c r="A39" t="s">
        <v>145</v>
      </c>
      <c r="C39" s="1"/>
      <c r="D39" s="1"/>
      <c r="F39" s="1"/>
      <c r="G39" s="1"/>
      <c r="I39" s="1"/>
      <c r="J39" s="1"/>
      <c r="L39" s="1"/>
      <c r="M39" s="1"/>
      <c r="N39" s="1"/>
      <c r="O39" s="1"/>
      <c r="P39" s="1"/>
      <c r="Q39" s="1"/>
      <c r="R39" s="1"/>
      <c r="S39" s="1"/>
      <c r="T39" s="1"/>
      <c r="U39" s="1"/>
      <c r="V39" t="s">
        <v>145</v>
      </c>
    </row>
    <row r="40" spans="1:22" x14ac:dyDescent="0.25">
      <c r="A40" t="s">
        <v>146</v>
      </c>
      <c r="B40" t="s">
        <v>147</v>
      </c>
      <c r="C40" s="1">
        <f>C34*3/5</f>
        <v>12.948516853999999</v>
      </c>
      <c r="D40" s="1"/>
      <c r="E40" t="s">
        <v>148</v>
      </c>
      <c r="F40" s="1">
        <f>C2*1.415</f>
        <v>28.181140000000003</v>
      </c>
      <c r="G40" s="1"/>
      <c r="H40" t="s">
        <v>149</v>
      </c>
      <c r="I40" s="1">
        <f>I2*0.7</f>
        <v>44.8</v>
      </c>
      <c r="J40" s="1"/>
      <c r="K40" t="s">
        <v>150</v>
      </c>
      <c r="L40" s="1">
        <f>I2*0.66</f>
        <v>42.24</v>
      </c>
      <c r="M40" s="1">
        <f>I2*(0.66+0.7)/2</f>
        <v>43.519999999999996</v>
      </c>
      <c r="N40" s="1">
        <f>I2*0.7</f>
        <v>44.8</v>
      </c>
      <c r="O40" s="1"/>
      <c r="P40" s="1" t="s">
        <v>151</v>
      </c>
      <c r="Q40" s="1">
        <f>C2*1.75</f>
        <v>34.853000000000002</v>
      </c>
      <c r="R40" s="1"/>
      <c r="S40" s="1" t="s">
        <v>152</v>
      </c>
      <c r="T40" s="1">
        <f>(7.19*48/12) * 1.5</f>
        <v>43.14</v>
      </c>
      <c r="U40" s="1"/>
      <c r="V40" t="s">
        <v>146</v>
      </c>
    </row>
    <row r="41" spans="1:22" x14ac:dyDescent="0.25">
      <c r="A41" t="s">
        <v>153</v>
      </c>
      <c r="B41" t="s">
        <v>136</v>
      </c>
      <c r="C41" s="1">
        <f>(C40/3)*5/8</f>
        <v>2.6976076779166664</v>
      </c>
      <c r="D41" s="1"/>
      <c r="E41" t="s">
        <v>154</v>
      </c>
      <c r="F41" s="1">
        <f>(F40*0.013) * 12</f>
        <v>4.3962578400000005</v>
      </c>
      <c r="G41" s="1"/>
      <c r="I41" s="1"/>
      <c r="J41" s="1"/>
      <c r="L41" s="1"/>
      <c r="M41" s="1"/>
      <c r="N41" s="1"/>
      <c r="O41" s="1"/>
      <c r="P41" s="1" t="s">
        <v>155</v>
      </c>
      <c r="Q41" s="1">
        <f>C2/7.0625</f>
        <v>2.8199646017699114</v>
      </c>
      <c r="R41" s="1"/>
      <c r="S41" s="1" t="s">
        <v>156</v>
      </c>
      <c r="T41" s="1">
        <f>T40/4.5</f>
        <v>9.586666666666666</v>
      </c>
      <c r="U41" s="1"/>
      <c r="V41" t="s">
        <v>153</v>
      </c>
    </row>
    <row r="42" spans="1:22" x14ac:dyDescent="0.25">
      <c r="A42" t="s">
        <v>157</v>
      </c>
      <c r="B42" t="s">
        <v>158</v>
      </c>
      <c r="C42" s="1">
        <f>C40*5/8</f>
        <v>8.0928230337499993</v>
      </c>
      <c r="D42" s="1"/>
      <c r="E42" t="s">
        <v>159</v>
      </c>
      <c r="F42" s="1">
        <f>C2*1.158</f>
        <v>23.062728</v>
      </c>
      <c r="G42" s="1"/>
      <c r="H42" t="s">
        <v>160</v>
      </c>
      <c r="I42" s="1">
        <f>I40*0.53</f>
        <v>23.744</v>
      </c>
      <c r="J42" s="1"/>
      <c r="K42" t="s">
        <v>161</v>
      </c>
      <c r="L42" s="1">
        <f>M40*0.44</f>
        <v>19.148799999999998</v>
      </c>
      <c r="M42" s="1">
        <f>M40*(0.44+0.53)/2</f>
        <v>21.107199999999999</v>
      </c>
      <c r="N42" s="1">
        <f>M40*0.53</f>
        <v>23.0656</v>
      </c>
      <c r="O42" s="1"/>
      <c r="P42" s="1" t="s">
        <v>84</v>
      </c>
      <c r="Q42" s="1">
        <f>C2*1.25</f>
        <v>24.895</v>
      </c>
      <c r="R42" s="1"/>
      <c r="S42" s="1" t="s">
        <v>162</v>
      </c>
      <c r="T42" s="1">
        <f>T40*2/3</f>
        <v>28.76</v>
      </c>
      <c r="U42" s="1"/>
      <c r="V42" t="s">
        <v>157</v>
      </c>
    </row>
    <row r="43" spans="1:22" x14ac:dyDescent="0.25">
      <c r="A43" t="s">
        <v>163</v>
      </c>
      <c r="B43" t="s">
        <v>136</v>
      </c>
      <c r="C43" s="1">
        <f>(C42/3)*5/8</f>
        <v>1.6860047986979165</v>
      </c>
      <c r="D43" s="1"/>
      <c r="E43" t="s">
        <v>164</v>
      </c>
      <c r="F43" s="1">
        <f>(F42*0.01) *12</f>
        <v>2.7675273599999999</v>
      </c>
      <c r="G43" s="1"/>
      <c r="I43" s="1"/>
      <c r="J43" s="1"/>
      <c r="L43" s="1"/>
      <c r="M43" s="1"/>
      <c r="N43" s="1"/>
      <c r="O43" s="1"/>
      <c r="P43" s="1" t="s">
        <v>165</v>
      </c>
      <c r="Q43" s="1">
        <f>Q41*2/3</f>
        <v>1.8799764011799409</v>
      </c>
      <c r="R43" s="1"/>
      <c r="S43" s="1"/>
      <c r="T43" s="1"/>
      <c r="U43" s="1"/>
      <c r="V43" t="s">
        <v>163</v>
      </c>
    </row>
    <row r="44" spans="1:22" x14ac:dyDescent="0.25">
      <c r="A44" t="s">
        <v>166</v>
      </c>
      <c r="B44" t="s">
        <v>167</v>
      </c>
      <c r="C44" s="1">
        <f>C32*5/9</f>
        <v>19.190664197530864</v>
      </c>
      <c r="D44" s="1"/>
      <c r="E44" t="s">
        <v>168</v>
      </c>
      <c r="F44" s="1">
        <f>C2*0.854</f>
        <v>17.008264</v>
      </c>
      <c r="G44" s="1"/>
      <c r="H44" t="s">
        <v>169</v>
      </c>
      <c r="I44" s="1"/>
      <c r="J44" s="1"/>
      <c r="L44" s="1"/>
      <c r="M44" s="1"/>
      <c r="N44" s="1"/>
      <c r="O44" s="1"/>
      <c r="P44" s="1"/>
      <c r="Q44" s="1"/>
      <c r="R44" s="1"/>
      <c r="S44" s="1"/>
      <c r="T44" s="1"/>
      <c r="U44" s="1"/>
      <c r="V44" t="s">
        <v>166</v>
      </c>
    </row>
    <row r="45" spans="1:22" x14ac:dyDescent="0.25">
      <c r="A45" t="s">
        <v>170</v>
      </c>
      <c r="B45" t="s">
        <v>171</v>
      </c>
      <c r="C45" s="1">
        <f>C44/5</f>
        <v>3.8381328395061729</v>
      </c>
      <c r="D45" s="1"/>
      <c r="E45" t="s">
        <v>137</v>
      </c>
      <c r="F45" s="1">
        <f>(F44*0.018)*12</f>
        <v>3.6737850239999998</v>
      </c>
      <c r="G45" s="1"/>
      <c r="H45" t="s">
        <v>172</v>
      </c>
      <c r="I45" s="1"/>
      <c r="J45" s="1"/>
      <c r="L45" s="1"/>
      <c r="M45" s="1"/>
      <c r="N45" s="1"/>
      <c r="O45" s="1"/>
      <c r="P45" s="1"/>
      <c r="Q45" s="1"/>
      <c r="R45" s="1"/>
      <c r="S45" s="1"/>
      <c r="T45" s="1"/>
      <c r="U45" s="1"/>
      <c r="V45" t="s">
        <v>170</v>
      </c>
    </row>
    <row r="46" spans="1:22" x14ac:dyDescent="0.25">
      <c r="A46" t="s">
        <v>173</v>
      </c>
      <c r="B46" t="s">
        <v>174</v>
      </c>
      <c r="C46" s="1">
        <f>C44*4/7</f>
        <v>10.966093827160494</v>
      </c>
      <c r="D46" s="1"/>
      <c r="E46" t="s">
        <v>175</v>
      </c>
      <c r="F46" s="1">
        <f>C2*0.512</f>
        <v>10.196992</v>
      </c>
      <c r="G46" s="1"/>
      <c r="H46" t="s">
        <v>176</v>
      </c>
      <c r="I46" s="1"/>
      <c r="J46" s="1"/>
      <c r="L46" s="1"/>
      <c r="M46" s="1"/>
      <c r="N46" s="1"/>
      <c r="O46" s="1"/>
      <c r="P46" s="1"/>
      <c r="Q46" s="1"/>
      <c r="R46" s="1"/>
      <c r="S46" s="1"/>
      <c r="T46" s="1"/>
      <c r="U46" s="1"/>
      <c r="V46" t="s">
        <v>173</v>
      </c>
    </row>
    <row r="47" spans="1:22" ht="15.6" x14ac:dyDescent="0.3">
      <c r="A47" t="s">
        <v>177</v>
      </c>
      <c r="B47" t="s">
        <v>171</v>
      </c>
      <c r="C47" s="1">
        <f>C46/5</f>
        <v>2.1932187654320989</v>
      </c>
      <c r="D47" s="1"/>
      <c r="F47" s="1"/>
      <c r="G47" s="1"/>
      <c r="H47" t="s">
        <v>178</v>
      </c>
      <c r="I47" s="1"/>
      <c r="J47" s="1"/>
      <c r="L47" s="1"/>
      <c r="M47" s="1"/>
      <c r="N47" s="1"/>
      <c r="O47" s="1"/>
      <c r="P47" s="1"/>
      <c r="Q47" s="1"/>
      <c r="R47" s="1"/>
      <c r="S47" s="1"/>
      <c r="T47" s="1"/>
      <c r="U47" s="1"/>
      <c r="V47" t="s">
        <v>177</v>
      </c>
    </row>
    <row r="48" spans="1:22" ht="15.6" x14ac:dyDescent="0.3">
      <c r="A48" t="s">
        <v>179</v>
      </c>
      <c r="C48" s="1"/>
      <c r="D48" s="1"/>
      <c r="F48" s="1"/>
      <c r="G48" s="1"/>
      <c r="H48" t="s">
        <v>180</v>
      </c>
      <c r="I48" s="1"/>
      <c r="J48" s="1"/>
      <c r="L48" s="1"/>
      <c r="M48" s="1"/>
      <c r="N48" s="1"/>
      <c r="O48" s="1"/>
      <c r="P48" s="1"/>
      <c r="Q48" s="1"/>
      <c r="R48" s="1"/>
      <c r="S48" s="1"/>
      <c r="T48" s="1"/>
      <c r="U48" s="1"/>
      <c r="V48" t="s">
        <v>179</v>
      </c>
    </row>
    <row r="49" spans="1:22" ht="15.6" x14ac:dyDescent="0.3">
      <c r="A49" t="s">
        <v>181</v>
      </c>
      <c r="C49" s="1"/>
      <c r="D49" s="1"/>
      <c r="F49" s="1"/>
      <c r="G49" s="1"/>
      <c r="H49" t="s">
        <v>182</v>
      </c>
      <c r="I49" s="1"/>
      <c r="J49" s="1"/>
      <c r="L49" s="1"/>
      <c r="M49" s="1"/>
      <c r="N49" s="1"/>
      <c r="O49" s="1"/>
      <c r="P49" s="1"/>
      <c r="Q49" s="1"/>
      <c r="R49" s="1"/>
      <c r="S49" s="1"/>
      <c r="T49" s="1"/>
      <c r="U49" s="1"/>
      <c r="V49" t="s">
        <v>181</v>
      </c>
    </row>
    <row r="50" spans="1:22" ht="15.6" x14ac:dyDescent="0.3">
      <c r="A50" t="s">
        <v>183</v>
      </c>
      <c r="C50" s="1"/>
      <c r="D50" s="1"/>
      <c r="F50" s="1"/>
      <c r="G50" s="1"/>
      <c r="H50" t="s">
        <v>184</v>
      </c>
      <c r="I50" s="1"/>
      <c r="J50" s="1"/>
      <c r="L50" s="1"/>
      <c r="M50" s="1"/>
      <c r="N50" s="1"/>
      <c r="O50" s="1"/>
      <c r="P50" s="1"/>
      <c r="Q50" s="1"/>
      <c r="R50" s="1"/>
      <c r="S50" s="1"/>
      <c r="T50" s="1"/>
      <c r="U50" s="1"/>
      <c r="V50" t="s">
        <v>183</v>
      </c>
    </row>
    <row r="51" spans="1:22" x14ac:dyDescent="0.25">
      <c r="A51" t="s">
        <v>185</v>
      </c>
      <c r="C51" s="1"/>
      <c r="D51" s="1"/>
      <c r="F51" s="1"/>
      <c r="G51" s="1"/>
      <c r="I51" s="1"/>
      <c r="J51" s="1"/>
      <c r="L51" s="1"/>
      <c r="M51" s="1"/>
      <c r="N51" s="1"/>
      <c r="O51" s="1"/>
      <c r="P51" s="1"/>
      <c r="Q51" s="1"/>
      <c r="R51" s="1"/>
      <c r="S51" s="1"/>
      <c r="T51" s="1"/>
      <c r="U51" s="1"/>
      <c r="V51" t="s">
        <v>185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</dc:creator>
  <cp:lastModifiedBy>pr</cp:lastModifiedBy>
  <dcterms:created xsi:type="dcterms:W3CDTF">2021-02-05T23:26:33Z</dcterms:created>
  <dcterms:modified xsi:type="dcterms:W3CDTF">2021-02-05T23:33:07Z</dcterms:modified>
</cp:coreProperties>
</file>