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96" windowWidth="18576" windowHeight="11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H13" i="1" l="1"/>
  <c r="AH5" i="1"/>
  <c r="BK82" i="1"/>
  <c r="BR4" i="1"/>
  <c r="BH19" i="1"/>
  <c r="BH13" i="1"/>
  <c r="AQ50" i="1"/>
  <c r="AQ48" i="1"/>
  <c r="AR48" i="1"/>
  <c r="AM15" i="1"/>
  <c r="AM4" i="1"/>
  <c r="AM5" i="1"/>
  <c r="AI26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BY27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28" i="1"/>
  <c r="BW28" i="1" s="1"/>
  <c r="BU16" i="1"/>
  <c r="BU17" i="1"/>
  <c r="BU18" i="1"/>
  <c r="BU19" i="1"/>
  <c r="BU20" i="1"/>
  <c r="BU21" i="1"/>
  <c r="BU22" i="1"/>
  <c r="BU23" i="1"/>
  <c r="BU24" i="1"/>
  <c r="BW16" i="1"/>
  <c r="BS24" i="1"/>
  <c r="BS17" i="1"/>
  <c r="BS18" i="1"/>
  <c r="BS19" i="1"/>
  <c r="BS20" i="1"/>
  <c r="BS21" i="1"/>
  <c r="BS22" i="1"/>
  <c r="BS23" i="1"/>
  <c r="BS16" i="1"/>
  <c r="BW20" i="1"/>
  <c r="BW21" i="1"/>
  <c r="BW22" i="1"/>
  <c r="BW23" i="1"/>
  <c r="BW24" i="1"/>
  <c r="BW17" i="1" l="1"/>
  <c r="BW19" i="1"/>
  <c r="BW18" i="1"/>
  <c r="BK124" i="1"/>
  <c r="BK119" i="1"/>
  <c r="BF124" i="1"/>
  <c r="BK42" i="1" l="1"/>
  <c r="BL42" i="1" s="1"/>
  <c r="BK43" i="1"/>
  <c r="BL43" i="1" s="1"/>
  <c r="BK44" i="1"/>
  <c r="BL44" i="1" s="1"/>
  <c r="BK45" i="1"/>
  <c r="BL45" i="1" s="1"/>
  <c r="BK46" i="1"/>
  <c r="BL46" i="1" s="1"/>
  <c r="BK47" i="1"/>
  <c r="BL47" i="1" s="1"/>
  <c r="BK50" i="1"/>
  <c r="BL50" i="1" s="1"/>
  <c r="BK51" i="1"/>
  <c r="BL51" i="1" s="1"/>
  <c r="BK52" i="1"/>
  <c r="BL52" i="1" s="1"/>
  <c r="BK53" i="1"/>
  <c r="BL53" i="1" s="1"/>
  <c r="BK54" i="1"/>
  <c r="BL54" i="1" s="1"/>
  <c r="BK55" i="1"/>
  <c r="BL55" i="1" s="1"/>
  <c r="BK57" i="1"/>
  <c r="BL57" i="1" s="1"/>
  <c r="BK58" i="1"/>
  <c r="BL58" i="1" s="1"/>
  <c r="BK59" i="1"/>
  <c r="BL59" i="1" s="1"/>
  <c r="BK60" i="1"/>
  <c r="BL60" i="1" s="1"/>
  <c r="BK61" i="1"/>
  <c r="BL61" i="1" s="1"/>
  <c r="BK62" i="1"/>
  <c r="BL62" i="1" s="1"/>
  <c r="BK63" i="1"/>
  <c r="BL63" i="1" s="1"/>
  <c r="BK41" i="1"/>
  <c r="BL41" i="1" s="1"/>
  <c r="BK106" i="1"/>
  <c r="BL106" i="1" s="1"/>
  <c r="BK68" i="1"/>
  <c r="BL68" i="1" s="1"/>
  <c r="BK69" i="1"/>
  <c r="BL69" i="1" s="1"/>
  <c r="BK70" i="1"/>
  <c r="BL70" i="1" s="1"/>
  <c r="BK71" i="1"/>
  <c r="BL71" i="1" s="1"/>
  <c r="BK72" i="1"/>
  <c r="BL72" i="1" s="1"/>
  <c r="BK73" i="1"/>
  <c r="BL73" i="1" s="1"/>
  <c r="BK75" i="1"/>
  <c r="BL75" i="1" s="1"/>
  <c r="BK76" i="1"/>
  <c r="BL76" i="1" s="1"/>
  <c r="BK77" i="1"/>
  <c r="BL77" i="1" s="1"/>
  <c r="BK78" i="1"/>
  <c r="BL78" i="1" s="1"/>
  <c r="BK79" i="1"/>
  <c r="BL79" i="1" s="1"/>
  <c r="BK80" i="1"/>
  <c r="BL80" i="1" s="1"/>
  <c r="BK81" i="1"/>
  <c r="BL81" i="1" s="1"/>
  <c r="BK83" i="1"/>
  <c r="BL83" i="1" s="1"/>
  <c r="BK84" i="1"/>
  <c r="BL84" i="1" s="1"/>
  <c r="BK85" i="1"/>
  <c r="BL85" i="1" s="1"/>
  <c r="BK86" i="1"/>
  <c r="BL86" i="1" s="1"/>
  <c r="BK87" i="1"/>
  <c r="BL87" i="1" s="1"/>
  <c r="BK88" i="1"/>
  <c r="BL88" i="1" s="1"/>
  <c r="BK89" i="1"/>
  <c r="BL89" i="1" s="1"/>
  <c r="BK90" i="1"/>
  <c r="BL90" i="1" s="1"/>
  <c r="BK91" i="1"/>
  <c r="BL91" i="1" s="1"/>
  <c r="BK92" i="1"/>
  <c r="BL92" i="1" s="1"/>
  <c r="BK93" i="1"/>
  <c r="BL93" i="1" s="1"/>
  <c r="BK94" i="1"/>
  <c r="BK95" i="1"/>
  <c r="BL95" i="1" s="1"/>
  <c r="BK96" i="1"/>
  <c r="BL96" i="1" s="1"/>
  <c r="BK97" i="1"/>
  <c r="BL97" i="1" s="1"/>
  <c r="BK98" i="1"/>
  <c r="BL98" i="1" s="1"/>
  <c r="BK99" i="1"/>
  <c r="BL99" i="1" s="1"/>
  <c r="BK100" i="1"/>
  <c r="BL100" i="1" s="1"/>
  <c r="BK101" i="1"/>
  <c r="BL101" i="1" s="1"/>
  <c r="BK102" i="1"/>
  <c r="BL102" i="1" s="1"/>
  <c r="BK103" i="1"/>
  <c r="BL103" i="1" s="1"/>
  <c r="BK104" i="1"/>
  <c r="BL104" i="1" s="1"/>
  <c r="BK105" i="1"/>
  <c r="BL105" i="1" s="1"/>
  <c r="BK107" i="1"/>
  <c r="BK108" i="1"/>
  <c r="BL108" i="1" s="1"/>
  <c r="BK109" i="1"/>
  <c r="BL109" i="1" s="1"/>
  <c r="BK110" i="1"/>
  <c r="BL110" i="1" s="1"/>
  <c r="BK111" i="1"/>
  <c r="BL111" i="1" s="1"/>
  <c r="BK112" i="1"/>
  <c r="BL112" i="1" s="1"/>
  <c r="BK113" i="1"/>
  <c r="BL113" i="1" s="1"/>
  <c r="BK114" i="1"/>
  <c r="BL114" i="1" s="1"/>
  <c r="BK115" i="1"/>
  <c r="BL115" i="1" s="1"/>
  <c r="BK116" i="1"/>
  <c r="BL116" i="1" s="1"/>
  <c r="BK117" i="1"/>
  <c r="BL117" i="1" s="1"/>
  <c r="BK118" i="1"/>
  <c r="BL118" i="1" s="1"/>
  <c r="BL119" i="1"/>
  <c r="BK120" i="1"/>
  <c r="BL120" i="1" s="1"/>
  <c r="BK121" i="1"/>
  <c r="BL121" i="1" s="1"/>
  <c r="BK122" i="1"/>
  <c r="BL122" i="1" s="1"/>
  <c r="BK123" i="1"/>
  <c r="BL123" i="1" s="1"/>
  <c r="BL124" i="1"/>
  <c r="BK125" i="1"/>
  <c r="BL125" i="1" s="1"/>
  <c r="BK126" i="1"/>
  <c r="BL126" i="1" s="1"/>
  <c r="BK127" i="1"/>
  <c r="BL127" i="1" s="1"/>
  <c r="BK128" i="1"/>
  <c r="BL128" i="1" s="1"/>
  <c r="BK129" i="1"/>
  <c r="BL129" i="1" s="1"/>
  <c r="BK130" i="1"/>
  <c r="BL130" i="1" s="1"/>
  <c r="BK131" i="1"/>
  <c r="BL131" i="1" s="1"/>
  <c r="BK132" i="1"/>
  <c r="BL132" i="1" s="1"/>
  <c r="BK133" i="1"/>
  <c r="BL133" i="1" s="1"/>
  <c r="BK134" i="1"/>
  <c r="BL134" i="1" s="1"/>
  <c r="BK135" i="1"/>
  <c r="BL135" i="1" s="1"/>
  <c r="BK136" i="1"/>
  <c r="BL136" i="1" s="1"/>
  <c r="BK137" i="1"/>
  <c r="BL137" i="1" s="1"/>
  <c r="BK139" i="1"/>
  <c r="BL139" i="1" s="1"/>
  <c r="BK140" i="1"/>
  <c r="BL140" i="1" s="1"/>
  <c r="BK141" i="1"/>
  <c r="BL141" i="1" s="1"/>
  <c r="BK142" i="1"/>
  <c r="BL142" i="1" s="1"/>
  <c r="BK67" i="1"/>
  <c r="BL67" i="1" s="1"/>
  <c r="BL82" i="1"/>
  <c r="BL94" i="1"/>
  <c r="BL107" i="1"/>
  <c r="BF144" i="1" l="1"/>
  <c r="BG144" i="1" s="1"/>
  <c r="BF143" i="1"/>
  <c r="BG143" i="1" s="1"/>
  <c r="BF41" i="1"/>
  <c r="BF130" i="1" s="1"/>
  <c r="BG130" i="1" s="1"/>
  <c r="BF119" i="1" l="1"/>
  <c r="BG119" i="1" s="1"/>
  <c r="T3" i="1"/>
  <c r="T18" i="1"/>
  <c r="T24" i="1" s="1"/>
  <c r="T25" i="1" s="1"/>
  <c r="T40" i="1"/>
  <c r="T42" i="1" s="1"/>
  <c r="T2" i="1"/>
  <c r="T7" i="1" s="1"/>
  <c r="Q31" i="1"/>
  <c r="Q30" i="1"/>
  <c r="Q28" i="1"/>
  <c r="Q25" i="1"/>
  <c r="Q37" i="1"/>
  <c r="Q35" i="1"/>
  <c r="Q34" i="1"/>
  <c r="Q33" i="1"/>
  <c r="Q32" i="1"/>
  <c r="Q24" i="1"/>
  <c r="Q42" i="1"/>
  <c r="Q41" i="1"/>
  <c r="Q43" i="1" s="1"/>
  <c r="Q40" i="1"/>
  <c r="Q16" i="1"/>
  <c r="Q14" i="1"/>
  <c r="Q9" i="1"/>
  <c r="Q6" i="1"/>
  <c r="Q19" i="1" s="1"/>
  <c r="Q27" i="1" s="1"/>
  <c r="Q22" i="1" s="1"/>
  <c r="Q7" i="1"/>
  <c r="Q8" i="1" s="1"/>
  <c r="Q10" i="1" l="1"/>
  <c r="T30" i="1"/>
  <c r="T31" i="1" s="1"/>
  <c r="T28" i="1"/>
  <c r="T21" i="1"/>
  <c r="T26" i="1" s="1"/>
  <c r="T20" i="1"/>
  <c r="T19" i="1"/>
  <c r="T29" i="1" s="1"/>
  <c r="T23" i="1"/>
  <c r="T14" i="1"/>
  <c r="T32" i="1"/>
  <c r="T33" i="1" s="1"/>
  <c r="T41" i="1"/>
  <c r="T16" i="1"/>
  <c r="Q29" i="1"/>
  <c r="T5" i="1"/>
  <c r="Q20" i="1"/>
  <c r="Q5" i="1"/>
  <c r="Q13" i="1"/>
  <c r="BF142" i="1"/>
  <c r="BG142" i="1" s="1"/>
  <c r="BF138" i="1"/>
  <c r="BG138" i="1" s="1"/>
  <c r="T34" i="1" l="1"/>
  <c r="T35" i="1" s="1"/>
  <c r="T6" i="1"/>
  <c r="T13" i="1" s="1"/>
  <c r="T8" i="1"/>
  <c r="T17" i="1" s="1"/>
  <c r="T15" i="1"/>
  <c r="Q18" i="1"/>
  <c r="Q21" i="1"/>
  <c r="BF43" i="1"/>
  <c r="BF42" i="1"/>
  <c r="BG41" i="1"/>
  <c r="BF71" i="1" l="1"/>
  <c r="BF79" i="1"/>
  <c r="BG79" i="1" s="1"/>
  <c r="BF47" i="1"/>
  <c r="BG47" i="1" s="1"/>
  <c r="T12" i="1"/>
  <c r="T10" i="1"/>
  <c r="T11" i="1"/>
  <c r="BG42" i="1"/>
  <c r="BF67" i="1"/>
  <c r="BG67" i="1" s="1"/>
  <c r="BF53" i="1"/>
  <c r="BG53" i="1" s="1"/>
  <c r="BG43" i="1"/>
  <c r="BF131" i="1"/>
  <c r="BG131" i="1" s="1"/>
  <c r="BF76" i="1"/>
  <c r="BG76" i="1" s="1"/>
  <c r="BF78" i="1"/>
  <c r="BG78" i="1" s="1"/>
  <c r="BF77" i="1"/>
  <c r="BG77" i="1" s="1"/>
  <c r="BF75" i="1"/>
  <c r="BG75" i="1" s="1"/>
  <c r="BF94" i="1"/>
  <c r="BG94" i="1" s="1"/>
  <c r="BF92" i="1"/>
  <c r="BG92" i="1" s="1"/>
  <c r="BF93" i="1"/>
  <c r="BG93" i="1" s="1"/>
  <c r="BG71" i="1"/>
  <c r="BF70" i="1"/>
  <c r="BG70" i="1" s="1"/>
  <c r="BF69" i="1"/>
  <c r="BG69" i="1" s="1"/>
  <c r="BF68" i="1"/>
  <c r="BG68" i="1" s="1"/>
  <c r="BF74" i="1"/>
  <c r="BF73" i="1"/>
  <c r="BG73" i="1" s="1"/>
  <c r="BF72" i="1"/>
  <c r="BG72" i="1" s="1"/>
  <c r="BF134" i="1"/>
  <c r="BG134" i="1" s="1"/>
  <c r="BF120" i="1"/>
  <c r="BG120" i="1" s="1"/>
  <c r="BF129" i="1"/>
  <c r="BG129" i="1" s="1"/>
  <c r="BF135" i="1"/>
  <c r="BG135" i="1" s="1"/>
  <c r="BF133" i="1"/>
  <c r="BG133" i="1" s="1"/>
  <c r="BF132" i="1"/>
  <c r="BG132" i="1" s="1"/>
  <c r="BF128" i="1"/>
  <c r="BG128" i="1" s="1"/>
  <c r="BF127" i="1"/>
  <c r="BG127" i="1" s="1"/>
  <c r="BF141" i="1"/>
  <c r="BG141" i="1" s="1"/>
  <c r="BF126" i="1"/>
  <c r="BG126" i="1" s="1"/>
  <c r="BF140" i="1"/>
  <c r="BG140" i="1" s="1"/>
  <c r="BF125" i="1"/>
  <c r="BG125" i="1" s="1"/>
  <c r="BF139" i="1"/>
  <c r="BG139" i="1" s="1"/>
  <c r="BG124" i="1"/>
  <c r="BF137" i="1"/>
  <c r="BG137" i="1" s="1"/>
  <c r="BF123" i="1"/>
  <c r="BG123" i="1" s="1"/>
  <c r="BF136" i="1"/>
  <c r="BG136" i="1" s="1"/>
  <c r="BF122" i="1"/>
  <c r="BG122" i="1" s="1"/>
  <c r="BF121" i="1"/>
  <c r="BG121" i="1" s="1"/>
  <c r="BF56" i="1"/>
  <c r="BF48" i="1"/>
  <c r="BF44" i="1"/>
  <c r="BG44" i="1" s="1"/>
  <c r="BF52" i="1"/>
  <c r="BG52" i="1" s="1"/>
  <c r="BF54" i="1"/>
  <c r="BG54" i="1" s="1"/>
  <c r="BF45" i="1"/>
  <c r="BH35" i="1"/>
  <c r="BH37" i="1"/>
  <c r="BG30" i="1"/>
  <c r="BF20" i="1"/>
  <c r="BF30" i="1" s="1"/>
  <c r="BG32" i="1"/>
  <c r="BF26" i="1"/>
  <c r="BH17" i="1"/>
  <c r="BH15" i="1"/>
  <c r="BG14" i="1"/>
  <c r="BG15" i="1" s="1"/>
  <c r="AF14" i="1"/>
  <c r="BF27" i="1" l="1"/>
  <c r="BF34" i="1"/>
  <c r="BF84" i="1"/>
  <c r="BG84" i="1" s="1"/>
  <c r="BG74" i="1"/>
  <c r="BF57" i="1"/>
  <c r="BG57" i="1" s="1"/>
  <c r="BG56" i="1"/>
  <c r="BF63" i="1"/>
  <c r="BG63" i="1" s="1"/>
  <c r="BF46" i="1"/>
  <c r="BG46" i="1" s="1"/>
  <c r="BG45" i="1"/>
  <c r="BF50" i="1"/>
  <c r="BG50" i="1" s="1"/>
  <c r="BG48" i="1"/>
  <c r="BF107" i="1"/>
  <c r="BG107" i="1" s="1"/>
  <c r="BF87" i="1"/>
  <c r="BG87" i="1" s="1"/>
  <c r="BF101" i="1"/>
  <c r="BG101" i="1" s="1"/>
  <c r="BF86" i="1"/>
  <c r="BG86" i="1" s="1"/>
  <c r="BF99" i="1"/>
  <c r="BG99" i="1" s="1"/>
  <c r="BF100" i="1"/>
  <c r="BG100" i="1" s="1"/>
  <c r="BF85" i="1"/>
  <c r="BG85" i="1" s="1"/>
  <c r="BF82" i="1"/>
  <c r="BF98" i="1"/>
  <c r="BG98" i="1" s="1"/>
  <c r="BF81" i="1"/>
  <c r="BG81" i="1" s="1"/>
  <c r="BF114" i="1"/>
  <c r="BG114" i="1" s="1"/>
  <c r="BF97" i="1"/>
  <c r="BG97" i="1" s="1"/>
  <c r="BF80" i="1"/>
  <c r="BG80" i="1" s="1"/>
  <c r="BF113" i="1"/>
  <c r="BG113" i="1" s="1"/>
  <c r="BF96" i="1"/>
  <c r="BG96" i="1" s="1"/>
  <c r="BF112" i="1"/>
  <c r="BG112" i="1" s="1"/>
  <c r="BF95" i="1"/>
  <c r="BG95" i="1" s="1"/>
  <c r="BF111" i="1"/>
  <c r="BG111" i="1" s="1"/>
  <c r="BF91" i="1"/>
  <c r="BG91" i="1" s="1"/>
  <c r="BF110" i="1"/>
  <c r="BG110" i="1" s="1"/>
  <c r="BF90" i="1"/>
  <c r="BG90" i="1" s="1"/>
  <c r="BF89" i="1"/>
  <c r="BG89" i="1" s="1"/>
  <c r="BF108" i="1"/>
  <c r="BG108" i="1" s="1"/>
  <c r="BF88" i="1"/>
  <c r="BG88" i="1" s="1"/>
  <c r="BF109" i="1"/>
  <c r="BG109" i="1" s="1"/>
  <c r="BF106" i="1"/>
  <c r="BG106" i="1" s="1"/>
  <c r="BF105" i="1"/>
  <c r="BG105" i="1" s="1"/>
  <c r="BF104" i="1"/>
  <c r="BG104" i="1" s="1"/>
  <c r="BF103" i="1"/>
  <c r="BG103" i="1" s="1"/>
  <c r="BF102" i="1"/>
  <c r="BG102" i="1" s="1"/>
  <c r="BF21" i="1"/>
  <c r="BF61" i="1"/>
  <c r="BG61" i="1" s="1"/>
  <c r="BF55" i="1"/>
  <c r="BG55" i="1" s="1"/>
  <c r="BF59" i="1"/>
  <c r="BG59" i="1" s="1"/>
  <c r="BF62" i="1"/>
  <c r="BG62" i="1" s="1"/>
  <c r="BF49" i="1"/>
  <c r="BG49" i="1" s="1"/>
  <c r="BF32" i="1"/>
  <c r="BF33" i="1" s="1"/>
  <c r="BF31" i="1"/>
  <c r="BF28" i="1"/>
  <c r="BF22" i="1"/>
  <c r="BF23" i="1" s="1"/>
  <c r="AQ10" i="1"/>
  <c r="BB6" i="1"/>
  <c r="BB5" i="1"/>
  <c r="BB8" i="1"/>
  <c r="BA27" i="1"/>
  <c r="BA26" i="1"/>
  <c r="AT27" i="1"/>
  <c r="AY27" i="1"/>
  <c r="AS27" i="1"/>
  <c r="AT26" i="1"/>
  <c r="AY26" i="1"/>
  <c r="AS26" i="1"/>
  <c r="AS25" i="1"/>
  <c r="AT25" i="1"/>
  <c r="AU25" i="1"/>
  <c r="AV25" i="1"/>
  <c r="AW25" i="1"/>
  <c r="AX25" i="1"/>
  <c r="AY25" i="1"/>
  <c r="AZ25" i="1"/>
  <c r="BA25" i="1"/>
  <c r="AR25" i="1"/>
  <c r="AS24" i="1"/>
  <c r="AT24" i="1"/>
  <c r="AU24" i="1"/>
  <c r="AV24" i="1"/>
  <c r="AW24" i="1"/>
  <c r="AX24" i="1"/>
  <c r="AY24" i="1"/>
  <c r="AZ24" i="1"/>
  <c r="BA24" i="1"/>
  <c r="AR24" i="1"/>
  <c r="AS23" i="1"/>
  <c r="AT23" i="1"/>
  <c r="AU23" i="1"/>
  <c r="AV23" i="1"/>
  <c r="AW23" i="1"/>
  <c r="AX23" i="1"/>
  <c r="AY23" i="1"/>
  <c r="AZ23" i="1"/>
  <c r="BA23" i="1"/>
  <c r="AR23" i="1"/>
  <c r="AS22" i="1"/>
  <c r="AR22" i="1"/>
  <c r="AT22" i="1"/>
  <c r="AU22" i="1"/>
  <c r="AV22" i="1"/>
  <c r="AW22" i="1"/>
  <c r="AX22" i="1"/>
  <c r="AY22" i="1"/>
  <c r="AZ22" i="1"/>
  <c r="BA22" i="1"/>
  <c r="AQ41" i="1"/>
  <c r="AR41" i="1"/>
  <c r="AS41" i="1"/>
  <c r="AT41" i="1"/>
  <c r="AU41" i="1"/>
  <c r="AV41" i="1"/>
  <c r="AV42" i="1"/>
  <c r="AU42" i="1"/>
  <c r="AT42" i="1"/>
  <c r="AS42" i="1"/>
  <c r="AR42" i="1"/>
  <c r="AQ42" i="1"/>
  <c r="AQ47" i="1"/>
  <c r="AQ46" i="1"/>
  <c r="AQ45" i="1"/>
  <c r="BB13" i="1"/>
  <c r="BB12" i="1"/>
  <c r="BB9" i="1"/>
  <c r="BA14" i="1"/>
  <c r="BA10" i="1"/>
  <c r="AZ14" i="1"/>
  <c r="AZ10" i="1"/>
  <c r="AY14" i="1"/>
  <c r="AY10" i="1"/>
  <c r="AX14" i="1"/>
  <c r="AX10" i="1"/>
  <c r="AW14" i="1"/>
  <c r="AW10" i="1"/>
  <c r="AV14" i="1"/>
  <c r="AV10" i="1"/>
  <c r="AU14" i="1"/>
  <c r="AU10" i="1"/>
  <c r="AT10" i="1"/>
  <c r="AT14" i="1"/>
  <c r="AT18" i="1"/>
  <c r="AS18" i="1"/>
  <c r="AS10" i="1"/>
  <c r="AS14" i="1"/>
  <c r="AQ18" i="1"/>
  <c r="AR14" i="1"/>
  <c r="AR10" i="1"/>
  <c r="AQ14" i="1"/>
  <c r="BG82" i="1" l="1"/>
  <c r="BF83" i="1"/>
  <c r="BG83" i="1" s="1"/>
  <c r="BF58" i="1"/>
  <c r="BG58" i="1" s="1"/>
  <c r="BF116" i="1"/>
  <c r="BG116" i="1" s="1"/>
  <c r="BF115" i="1"/>
  <c r="BG115" i="1" s="1"/>
  <c r="BF118" i="1"/>
  <c r="BG118" i="1" s="1"/>
  <c r="BF117" i="1"/>
  <c r="BG117" i="1" s="1"/>
  <c r="BF60" i="1"/>
  <c r="BG60" i="1" s="1"/>
  <c r="BF51" i="1"/>
  <c r="BG51" i="1" s="1"/>
  <c r="BF24" i="1"/>
  <c r="BF25" i="1" s="1"/>
  <c r="BF29" i="1"/>
  <c r="BF36" i="1"/>
  <c r="BF37" i="1" s="1"/>
  <c r="BF35" i="1"/>
  <c r="BR11" i="1"/>
  <c r="BG12" i="1" s="1"/>
  <c r="BG18" i="1" s="1"/>
  <c r="BG19" i="1" s="1"/>
  <c r="BR10" i="1"/>
  <c r="BE12" i="1" s="1"/>
  <c r="BR6" i="1"/>
  <c r="BR8" i="1"/>
  <c r="BG10" i="1" s="1"/>
  <c r="BR12" i="1"/>
  <c r="BR5" i="1"/>
  <c r="BG8" i="1" s="1"/>
  <c r="BR7" i="1"/>
  <c r="AQ49" i="1"/>
  <c r="AR49" i="1"/>
  <c r="BR9" i="1"/>
  <c r="AH14" i="1"/>
  <c r="AH21" i="1"/>
  <c r="AH23" i="1" s="1"/>
  <c r="BF12" i="1" l="1"/>
  <c r="BF13" i="1" s="1"/>
  <c r="BG11" i="1"/>
  <c r="BG9" i="1"/>
  <c r="BG13" i="1"/>
  <c r="BF10" i="1"/>
  <c r="BF11" i="1" s="1"/>
  <c r="BE10" i="1"/>
  <c r="BE11" i="1" s="1"/>
  <c r="BE8" i="1"/>
  <c r="BE9" i="1" s="1"/>
  <c r="BF8" i="1"/>
  <c r="BF9" i="1" s="1"/>
  <c r="BE13" i="1"/>
  <c r="AS49" i="1"/>
  <c r="AS48" i="1"/>
  <c r="Y9" i="1"/>
  <c r="Y16" i="1"/>
  <c r="AH20" i="1" s="1"/>
  <c r="AH22" i="1"/>
  <c r="AH12" i="1"/>
  <c r="AE10" i="1"/>
  <c r="AH9" i="1"/>
  <c r="BF18" i="1" l="1"/>
  <c r="BF19" i="1" s="1"/>
  <c r="AH11" i="1"/>
  <c r="AC15" i="1"/>
  <c r="AC21" i="1" s="1"/>
  <c r="AH15" i="1" l="1"/>
  <c r="AH19" i="1" s="1"/>
  <c r="AD5" i="1"/>
  <c r="AD6" i="1" s="1"/>
  <c r="AC5" i="1"/>
  <c r="AC24" i="1" s="1"/>
  <c r="AC25" i="1" s="1"/>
  <c r="AD42" i="1"/>
  <c r="AD40" i="1"/>
  <c r="AD41" i="1" s="1"/>
  <c r="AD38" i="1"/>
  <c r="AD39" i="1" s="1"/>
  <c r="AD36" i="1"/>
  <c r="AD37" i="1" s="1"/>
  <c r="AD30" i="1"/>
  <c r="AD31" i="1" s="1"/>
  <c r="AD26" i="1"/>
  <c r="AD27" i="1" s="1"/>
  <c r="AD24" i="1"/>
  <c r="AD25" i="1" s="1"/>
  <c r="AD21" i="1"/>
  <c r="AD22" i="1" s="1"/>
  <c r="AD15" i="1"/>
  <c r="AD17" i="1" s="1"/>
  <c r="AD28" i="1"/>
  <c r="AD29" i="1" s="1"/>
  <c r="AD12" i="1"/>
  <c r="AD13" i="1" s="1"/>
  <c r="AF23" i="1"/>
  <c r="AF10" i="1"/>
  <c r="AF19" i="1" s="1"/>
  <c r="AE14" i="1"/>
  <c r="AE36" i="1"/>
  <c r="AE38" i="1" s="1"/>
  <c r="AE34" i="1" s="1"/>
  <c r="AE28" i="1"/>
  <c r="AE30" i="1" s="1"/>
  <c r="AF36" i="1"/>
  <c r="AF38" i="1" s="1"/>
  <c r="AF34" i="1" s="1"/>
  <c r="AF28" i="1"/>
  <c r="AF30" i="1" s="1"/>
  <c r="AF26" i="1"/>
  <c r="AF24" i="1"/>
  <c r="AE7" i="1"/>
  <c r="AE5" i="1" s="1"/>
  <c r="AE23" i="1" l="1"/>
  <c r="AE21" i="1" s="1"/>
  <c r="AE12" i="1"/>
  <c r="AH16" i="1"/>
  <c r="AH18" i="1" s="1"/>
  <c r="AC6" i="1"/>
  <c r="AC8" i="1" s="1"/>
  <c r="AC28" i="1"/>
  <c r="AC40" i="1" s="1"/>
  <c r="AD8" i="1"/>
  <c r="AD51" i="1"/>
  <c r="AC22" i="1"/>
  <c r="AE19" i="1"/>
  <c r="AD7" i="1"/>
  <c r="AD16" i="1"/>
  <c r="AD18" i="1" s="1"/>
  <c r="AC7" i="1"/>
  <c r="AC9" i="1" s="1"/>
  <c r="AC12" i="1"/>
  <c r="N40" i="1"/>
  <c r="L40" i="1"/>
  <c r="M40" i="1"/>
  <c r="N42" i="1" s="1"/>
  <c r="N32" i="1"/>
  <c r="L32" i="1"/>
  <c r="M32" i="1"/>
  <c r="N34" i="1" s="1"/>
  <c r="M11" i="1"/>
  <c r="M23" i="1" s="1"/>
  <c r="M17" i="1"/>
  <c r="M26" i="1"/>
  <c r="N26" i="1"/>
  <c r="L26" i="1"/>
  <c r="N17" i="1"/>
  <c r="L17" i="1"/>
  <c r="N11" i="1"/>
  <c r="L11" i="1"/>
  <c r="M30" i="1"/>
  <c r="M28" i="1"/>
  <c r="I40" i="1"/>
  <c r="I42" i="1" s="1"/>
  <c r="I38" i="1" s="1"/>
  <c r="I32" i="1"/>
  <c r="I34" i="1" s="1"/>
  <c r="I17" i="1"/>
  <c r="I26" i="1" s="1"/>
  <c r="I24" i="1" s="1"/>
  <c r="I11" i="1"/>
  <c r="I23" i="1" s="1"/>
  <c r="AH10" i="1" l="1"/>
  <c r="AC51" i="1"/>
  <c r="AH6" i="1"/>
  <c r="AC29" i="1"/>
  <c r="AC30" i="1"/>
  <c r="AC31" i="1" s="1"/>
  <c r="AD60" i="1"/>
  <c r="AD61" i="1" s="1"/>
  <c r="AD68" i="1"/>
  <c r="AD69" i="1" s="1"/>
  <c r="AD90" i="1"/>
  <c r="AD91" i="1" s="1"/>
  <c r="AD66" i="1"/>
  <c r="AD67" i="1" s="1"/>
  <c r="AD58" i="1"/>
  <c r="AD59" i="1" s="1"/>
  <c r="AD54" i="1"/>
  <c r="AD55" i="1" s="1"/>
  <c r="AD88" i="1"/>
  <c r="AD89" i="1" s="1"/>
  <c r="AD64" i="1"/>
  <c r="AD65" i="1" s="1"/>
  <c r="AD86" i="1"/>
  <c r="AD87" i="1" s="1"/>
  <c r="AD62" i="1"/>
  <c r="AD63" i="1" s="1"/>
  <c r="AD84" i="1"/>
  <c r="AD85" i="1" s="1"/>
  <c r="AD76" i="1"/>
  <c r="AD77" i="1" s="1"/>
  <c r="AD82" i="1"/>
  <c r="AD83" i="1" s="1"/>
  <c r="AD56" i="1"/>
  <c r="AD57" i="1" s="1"/>
  <c r="AD80" i="1"/>
  <c r="AD81" i="1" s="1"/>
  <c r="AD52" i="1"/>
  <c r="AD53" i="1" s="1"/>
  <c r="AD78" i="1"/>
  <c r="AD79" i="1" s="1"/>
  <c r="AD74" i="1"/>
  <c r="AD75" i="1" s="1"/>
  <c r="AD72" i="1"/>
  <c r="AD73" i="1" s="1"/>
  <c r="AD70" i="1"/>
  <c r="AD71" i="1" s="1"/>
  <c r="AC16" i="1"/>
  <c r="AC52" i="1" s="1"/>
  <c r="AC68" i="1" s="1"/>
  <c r="L34" i="1"/>
  <c r="M34" i="1"/>
  <c r="I21" i="1"/>
  <c r="I18" i="1" s="1"/>
  <c r="I28" i="1" s="1"/>
  <c r="I30" i="1" s="1"/>
  <c r="I14" i="1"/>
  <c r="I8" i="1"/>
  <c r="I5" i="1" s="1"/>
  <c r="M42" i="1"/>
  <c r="N38" i="1" s="1"/>
  <c r="L42" i="1"/>
  <c r="AE17" i="1"/>
  <c r="AE15" i="1" s="1"/>
  <c r="AC26" i="1"/>
  <c r="AC27" i="1" s="1"/>
  <c r="AC42" i="1"/>
  <c r="AC43" i="1" s="1"/>
  <c r="AC41" i="1"/>
  <c r="AC17" i="1"/>
  <c r="AC13" i="1"/>
  <c r="AC18" i="1" s="1"/>
  <c r="AC54" i="1"/>
  <c r="L23" i="1"/>
  <c r="N23" i="1"/>
  <c r="F46" i="1"/>
  <c r="F44" i="1"/>
  <c r="F45" i="1" s="1"/>
  <c r="F42" i="1"/>
  <c r="F43" i="1" s="1"/>
  <c r="F40" i="1"/>
  <c r="F41" i="1" s="1"/>
  <c r="F34" i="1"/>
  <c r="F35" i="1" s="1"/>
  <c r="F32" i="1"/>
  <c r="F33" i="1" s="1"/>
  <c r="F14" i="1"/>
  <c r="F16" i="1" s="1"/>
  <c r="F5" i="1"/>
  <c r="F6" i="1" s="1"/>
  <c r="F30" i="1"/>
  <c r="F31" i="1" s="1"/>
  <c r="F28" i="1"/>
  <c r="F29" i="1" s="1"/>
  <c r="F24" i="1"/>
  <c r="F25" i="1" s="1"/>
  <c r="F18" i="1"/>
  <c r="F19" i="1" s="1"/>
  <c r="F22" i="1" s="1"/>
  <c r="AH8" i="1" l="1"/>
  <c r="AC36" i="1"/>
  <c r="AC38" i="1" s="1"/>
  <c r="AC39" i="1" s="1"/>
  <c r="AE24" i="1"/>
  <c r="AE26" i="1" s="1"/>
  <c r="AC72" i="1"/>
  <c r="AC86" i="1" s="1"/>
  <c r="AC87" i="1" s="1"/>
  <c r="AC76" i="1"/>
  <c r="AC78" i="1" s="1"/>
  <c r="AC53" i="1"/>
  <c r="AC56" i="1"/>
  <c r="AC82" i="1" s="1"/>
  <c r="F9" i="1"/>
  <c r="F55" i="1"/>
  <c r="F56" i="1" s="1"/>
  <c r="F57" i="1" s="1"/>
  <c r="L38" i="1"/>
  <c r="M38" i="1"/>
  <c r="F21" i="1"/>
  <c r="AC60" i="1"/>
  <c r="AC70" i="1"/>
  <c r="AC58" i="1"/>
  <c r="AC55" i="1"/>
  <c r="AC69" i="1"/>
  <c r="AC88" i="1"/>
  <c r="AC89" i="1" s="1"/>
  <c r="F8" i="1"/>
  <c r="C5" i="1"/>
  <c r="C8" i="1" s="1"/>
  <c r="C10" i="1" s="1"/>
  <c r="AC57" i="1" l="1"/>
  <c r="AC37" i="1"/>
  <c r="AC77" i="1"/>
  <c r="AC74" i="1"/>
  <c r="AC75" i="1" s="1"/>
  <c r="AC73" i="1"/>
  <c r="AC62" i="1"/>
  <c r="AC59" i="1"/>
  <c r="AC71" i="1"/>
  <c r="AC90" i="1"/>
  <c r="AC91" i="1" s="1"/>
  <c r="AC61" i="1"/>
  <c r="AC64" i="1"/>
  <c r="AC65" i="1" s="1"/>
  <c r="AC80" i="1"/>
  <c r="AC81" i="1" s="1"/>
  <c r="AC79" i="1"/>
  <c r="AC84" i="1"/>
  <c r="AC85" i="1" s="1"/>
  <c r="AC83" i="1"/>
  <c r="C32" i="1"/>
  <c r="C44" i="1" s="1"/>
  <c r="C28" i="1"/>
  <c r="C18" i="1"/>
  <c r="C6" i="1"/>
  <c r="C55" i="1" s="1"/>
  <c r="C14" i="1"/>
  <c r="C21" i="1" s="1"/>
  <c r="F74" i="1" l="1"/>
  <c r="F75" i="1" s="1"/>
  <c r="F100" i="1"/>
  <c r="F101" i="1" s="1"/>
  <c r="F72" i="1"/>
  <c r="F73" i="1" s="1"/>
  <c r="F98" i="1"/>
  <c r="F99" i="1" s="1"/>
  <c r="F70" i="1"/>
  <c r="F71" i="1" s="1"/>
  <c r="F96" i="1"/>
  <c r="F97" i="1" s="1"/>
  <c r="F62" i="1"/>
  <c r="F63" i="1" s="1"/>
  <c r="F94" i="1"/>
  <c r="F95" i="1" s="1"/>
  <c r="F60" i="1"/>
  <c r="F61" i="1" s="1"/>
  <c r="F92" i="1"/>
  <c r="F93" i="1" s="1"/>
  <c r="F80" i="1"/>
  <c r="F81" i="1" s="1"/>
  <c r="F90" i="1"/>
  <c r="F91" i="1" s="1"/>
  <c r="F78" i="1"/>
  <c r="F79" i="1" s="1"/>
  <c r="F88" i="1"/>
  <c r="F89" i="1" s="1"/>
  <c r="F58" i="1"/>
  <c r="F59" i="1" s="1"/>
  <c r="F86" i="1"/>
  <c r="F87" i="1" s="1"/>
  <c r="F84" i="1"/>
  <c r="F85" i="1" s="1"/>
  <c r="F82" i="1"/>
  <c r="F83" i="1" s="1"/>
  <c r="F76" i="1"/>
  <c r="F77" i="1" s="1"/>
  <c r="AC63" i="1"/>
  <c r="AC66" i="1"/>
  <c r="AC67" i="1" s="1"/>
  <c r="C16" i="1"/>
  <c r="C22" i="1" s="1"/>
  <c r="C58" i="1"/>
  <c r="C70" i="1" s="1"/>
  <c r="C74" i="1" s="1"/>
  <c r="C75" i="1" s="1"/>
  <c r="C9" i="1"/>
  <c r="C19" i="1"/>
  <c r="C24" i="1"/>
  <c r="C25" i="1" s="1"/>
  <c r="C46" i="1"/>
  <c r="C47" i="1" s="1"/>
  <c r="C45" i="1"/>
  <c r="C30" i="1"/>
  <c r="C31" i="1" s="1"/>
  <c r="C29" i="1"/>
  <c r="C33" i="1"/>
  <c r="C34" i="1"/>
  <c r="C56" i="1" l="1"/>
  <c r="C105" i="1" s="1"/>
  <c r="C106" i="1" s="1"/>
  <c r="C59" i="1"/>
  <c r="C62" i="1"/>
  <c r="C80" i="1"/>
  <c r="C81" i="1" s="1"/>
  <c r="C71" i="1"/>
  <c r="C35" i="1"/>
  <c r="C40" i="1"/>
  <c r="C64" i="1" l="1"/>
  <c r="C65" i="1" s="1"/>
  <c r="C68" i="1"/>
  <c r="C69" i="1" s="1"/>
  <c r="C72" i="1"/>
  <c r="C76" i="1" s="1"/>
  <c r="C77" i="1" s="1"/>
  <c r="C86" i="1"/>
  <c r="C87" i="1" s="1"/>
  <c r="C66" i="1"/>
  <c r="C67" i="1" s="1"/>
  <c r="C78" i="1"/>
  <c r="C79" i="1" s="1"/>
  <c r="C60" i="1"/>
  <c r="C92" i="1" s="1"/>
  <c r="C57" i="1"/>
  <c r="C82" i="1"/>
  <c r="C83" i="1" s="1"/>
  <c r="C63" i="1"/>
  <c r="C100" i="1"/>
  <c r="C101" i="1" s="1"/>
  <c r="C42" i="1"/>
  <c r="C43" i="1" s="1"/>
  <c r="C41" i="1"/>
  <c r="C73" i="1" l="1"/>
  <c r="C88" i="1"/>
  <c r="C61" i="1"/>
  <c r="C96" i="1"/>
  <c r="C97" i="1" s="1"/>
  <c r="C84" i="1"/>
  <c r="C85" i="1" s="1"/>
  <c r="C98" i="1"/>
  <c r="C99" i="1" s="1"/>
  <c r="C94" i="1"/>
  <c r="C95" i="1" s="1"/>
  <c r="C93" i="1"/>
  <c r="C89" i="1" l="1"/>
  <c r="C90" i="1"/>
  <c r="C91" i="1" s="1"/>
</calcChain>
</file>

<file path=xl/sharedStrings.xml><?xml version="1.0" encoding="utf-8"?>
<sst xmlns="http://schemas.openxmlformats.org/spreadsheetml/2006/main" count="1448" uniqueCount="785">
  <si>
    <t>MM = Main Mast</t>
  </si>
  <si>
    <t>Lees</t>
  </si>
  <si>
    <t>Beam x 2.23</t>
  </si>
  <si>
    <t>Beam (feet) =</t>
  </si>
  <si>
    <t>Main mast diameter (inches)</t>
  </si>
  <si>
    <t>Length / 3</t>
  </si>
  <si>
    <t>Main mast head length (feet)</t>
  </si>
  <si>
    <t>MM Length / 3</t>
  </si>
  <si>
    <t>2/3 mast head length</t>
  </si>
  <si>
    <t>MM length * 0.9</t>
  </si>
  <si>
    <t>Fore mast diameter (inches)</t>
  </si>
  <si>
    <t>MM length * 0.6</t>
  </si>
  <si>
    <t>Main topmast diameter (inches)</t>
  </si>
  <si>
    <t>length / 3</t>
  </si>
  <si>
    <t>Bowsprit length (feet)</t>
  </si>
  <si>
    <t>Bowsprit diameter (inches)</t>
  </si>
  <si>
    <t>(Length / 3) * 1 2/9"</t>
  </si>
  <si>
    <t>Bowsprit length *0.715</t>
  </si>
  <si>
    <t>Fore yard length (feet)</t>
  </si>
  <si>
    <t>Jib boom diameter (inches)</t>
  </si>
  <si>
    <t>Length / 3 * 7/8</t>
  </si>
  <si>
    <t>MM * 8/9 * 0.875</t>
  </si>
  <si>
    <t>Length / 3 * 7/10</t>
  </si>
  <si>
    <t>Fore yard diameter (inches)</t>
  </si>
  <si>
    <t>Topsail yard length (feet)</t>
  </si>
  <si>
    <t>Fore yard * 0.714 *7/8</t>
  </si>
  <si>
    <t>Topsail yard diameter (inches)</t>
  </si>
  <si>
    <t>Length / 3 * 5/8</t>
  </si>
  <si>
    <t>Ringtail boom diameter (inches)</t>
  </si>
  <si>
    <t>Ringtail yard length (feet)</t>
  </si>
  <si>
    <t>Ringtail yard diameter (inches)</t>
  </si>
  <si>
    <t>Fore boom diameter (inches)</t>
  </si>
  <si>
    <t>Fore boom length (feet)</t>
  </si>
  <si>
    <t>Fore mast length (feet)</t>
  </si>
  <si>
    <t>Fore gaff length (feet)</t>
  </si>
  <si>
    <t>Fore gaff diameter (inches)</t>
  </si>
  <si>
    <t>Main boom diameter (inches)</t>
  </si>
  <si>
    <t>Main gaff length (feet)</t>
  </si>
  <si>
    <t>Main gaff diameter (inches)</t>
  </si>
  <si>
    <t>Boom length * 4/7</t>
  </si>
  <si>
    <t>Length / 5</t>
  </si>
  <si>
    <t>3/5 topsail yard length</t>
  </si>
  <si>
    <t>Main boom length * 5/8</t>
  </si>
  <si>
    <t>Main boom (Driver) length (feet)</t>
  </si>
  <si>
    <t>Ringtail boom length (feet)</t>
  </si>
  <si>
    <t>Fore lower stays circumference (inches)</t>
  </si>
  <si>
    <t>Fore lower stays diameter (inches)</t>
  </si>
  <si>
    <t>Main lower stays circumference (inches)</t>
  </si>
  <si>
    <t>Main lower stays diameter (inches)</t>
  </si>
  <si>
    <t>Mast diameter * .5</t>
  </si>
  <si>
    <t>Circumference / pi</t>
  </si>
  <si>
    <t>Fore topmast stays circumference (inches)</t>
  </si>
  <si>
    <t>Fore topmast stays diameter (inches)</t>
  </si>
  <si>
    <t>Main topmast stays circumference (inches)</t>
  </si>
  <si>
    <t>Main topmast stays diameter (inches)</t>
  </si>
  <si>
    <t>Fore mast shrouds circumference (inches)</t>
  </si>
  <si>
    <t>Fore mast shrouds diameter (inches)</t>
  </si>
  <si>
    <t>Main mast shrouds circumference (inches)</t>
  </si>
  <si>
    <t>Main mast shrouds diameter (inches)</t>
  </si>
  <si>
    <t>Stay * 0.6</t>
  </si>
  <si>
    <t>Lower stay lanyards circumference (inches)</t>
  </si>
  <si>
    <t>Lower stay lanyards diameter (inches)</t>
  </si>
  <si>
    <t>Upper stay lanyards circumference (inches)</t>
  </si>
  <si>
    <t>Upper stay lanyards diameter (inches)</t>
  </si>
  <si>
    <t>Lower stay * 1/3</t>
  </si>
  <si>
    <t>Upper stay * 1/2</t>
  </si>
  <si>
    <t>Lower stay tackle diameter (inches)</t>
  </si>
  <si>
    <t>Lower stay tackle circumference (inches)</t>
  </si>
  <si>
    <t>Upper stay tackle circumference (inches)</t>
  </si>
  <si>
    <t>Upper stay tackle  diameter (inches)</t>
  </si>
  <si>
    <t>Forestay * 0.5</t>
  </si>
  <si>
    <t>Bobstay circumference (inches)</t>
  </si>
  <si>
    <t>Bobstay diameter (inches)</t>
  </si>
  <si>
    <t>Forestay * 0.44</t>
  </si>
  <si>
    <t>Gammoning circumference (inches)</t>
  </si>
  <si>
    <t>Gammoning diameter (inches)</t>
  </si>
  <si>
    <t>Bowsprit shrouds circumference (inches)</t>
  </si>
  <si>
    <t>Bowsprit shrouds diameter (inches)</t>
  </si>
  <si>
    <t>Fore pendant tackle circumference (inches)</t>
  </si>
  <si>
    <t>Fore pendant tackle diameter (inches)</t>
  </si>
  <si>
    <t>Main pendant tackle circumference (inches)</t>
  </si>
  <si>
    <t>Main pendant tackle diameter (inches)</t>
  </si>
  <si>
    <t>Mondfeld</t>
  </si>
  <si>
    <t>Notes:</t>
  </si>
  <si>
    <t>Length * 0.028 * 12</t>
  </si>
  <si>
    <t>Length * 0.022 * 12</t>
  </si>
  <si>
    <t>Length * 0.027 * 12</t>
  </si>
  <si>
    <t>Fore topmast length (feet)</t>
  </si>
  <si>
    <t>Fore topmast diameter (inches)</t>
  </si>
  <si>
    <t>Main topmast length (feet)</t>
  </si>
  <si>
    <t>Main mast partners to hounds (feet)</t>
  </si>
  <si>
    <t>Main mast hounds length (feet)</t>
  </si>
  <si>
    <t>Fore mast * 0.6</t>
  </si>
  <si>
    <t>Beam * 1.25</t>
  </si>
  <si>
    <t>Beam * 2.343</t>
  </si>
  <si>
    <t>Beam * 1.362</t>
  </si>
  <si>
    <t>Beam  * 2.11</t>
  </si>
  <si>
    <t>Beam  * 1.4</t>
  </si>
  <si>
    <t>Beam  * 1.1</t>
  </si>
  <si>
    <t>Main mast head diameter (inches)</t>
  </si>
  <si>
    <t>Fore mast head length (feet)</t>
  </si>
  <si>
    <t>Fore mast head diameter (inches)</t>
  </si>
  <si>
    <t>Mast length * 0.15</t>
  </si>
  <si>
    <t>Mast diameter * 0.7</t>
  </si>
  <si>
    <t>(Mast length / 3) * 5 / 12</t>
  </si>
  <si>
    <t>(Mast length / 3) * 5 /12</t>
  </si>
  <si>
    <t>Mast diameter * 3/4</t>
  </si>
  <si>
    <t>Beam * 1.707</t>
  </si>
  <si>
    <t>Beam * 1.39</t>
  </si>
  <si>
    <t>Length * 0.021 * 12</t>
  </si>
  <si>
    <t>Length * 0.018 * 12</t>
  </si>
  <si>
    <t>Beam * 1.415</t>
  </si>
  <si>
    <t>Beam * 1.158</t>
  </si>
  <si>
    <t>Beam * 0.854</t>
  </si>
  <si>
    <t>Beam * 0.512</t>
  </si>
  <si>
    <t>Fore yard * 5/9</t>
  </si>
  <si>
    <t>Fore stunsail boom length (feet)</t>
  </si>
  <si>
    <t>Fore stunsail boom diameter (inches)</t>
  </si>
  <si>
    <t>Fore stunsail yard length (feet)</t>
  </si>
  <si>
    <t>Fore stunsail yard diameter (inches)</t>
  </si>
  <si>
    <t>Length * 0.013 * 12</t>
  </si>
  <si>
    <t>Length * 0.01 *12</t>
  </si>
  <si>
    <t>40% of main stay</t>
  </si>
  <si>
    <t>80% of main stay</t>
  </si>
  <si>
    <t>50% of main stay</t>
  </si>
  <si>
    <t>Martingale  stay circumference (inches)</t>
  </si>
  <si>
    <t>Martingale stay diameter (inches)</t>
  </si>
  <si>
    <t>60% of main stay</t>
  </si>
  <si>
    <t>Jib boom guy circumference (inches)</t>
  </si>
  <si>
    <t>Jib boom guy diameter (inches)</t>
  </si>
  <si>
    <t>53% of main stay</t>
  </si>
  <si>
    <t>Bowsprit shroud lanyard diameter (inches)</t>
  </si>
  <si>
    <t>30% of main stay</t>
  </si>
  <si>
    <t>Bobstay lanyards (circumference (inches)</t>
  </si>
  <si>
    <t>Bobstay lanyards diameter (inches)</t>
  </si>
  <si>
    <t>Martingale backstay diameter (inches)</t>
  </si>
  <si>
    <t>Martingale backstay circumference (inches)</t>
  </si>
  <si>
    <t>55% of main stay</t>
  </si>
  <si>
    <t>90% of main stay</t>
  </si>
  <si>
    <t>100% of main stay</t>
  </si>
  <si>
    <t>88% of main stay</t>
  </si>
  <si>
    <t>44% of main stay</t>
  </si>
  <si>
    <t>34% of main stay</t>
  </si>
  <si>
    <t>Main stay circumference (inches)</t>
  </si>
  <si>
    <t>28% of main stay</t>
  </si>
  <si>
    <t>Lower lanyards * 1</t>
  </si>
  <si>
    <t>Upper lanyards * 1</t>
  </si>
  <si>
    <t>Gammoning * 1</t>
  </si>
  <si>
    <t>Shrouds * 1</t>
  </si>
  <si>
    <t>Lower stays * 0.5</t>
  </si>
  <si>
    <t>Fore topmast stay * 0.75</t>
  </si>
  <si>
    <t>Martingale stay * 0.5</t>
  </si>
  <si>
    <t>Bowsprit shroud * 0.5</t>
  </si>
  <si>
    <t>Bobstay * 0.5</t>
  </si>
  <si>
    <t>Fincham</t>
  </si>
  <si>
    <t>Beam * 2.61</t>
  </si>
  <si>
    <t>Hounded length  *0.12</t>
  </si>
  <si>
    <t>Hounded + head</t>
  </si>
  <si>
    <t>Fore mast hounded (foot to hounds)</t>
  </si>
  <si>
    <t>Main mast hounded * 0.92</t>
  </si>
  <si>
    <r>
      <t xml:space="preserve">3. Fincham's Rules for schooners from Chapelle's </t>
    </r>
    <r>
      <rPr>
        <i/>
        <sz val="12"/>
        <color theme="1"/>
        <rFont val="Arial"/>
        <family val="2"/>
      </rPr>
      <t>The Baltimore Clipper</t>
    </r>
  </si>
  <si>
    <t>2. Mondfeld's data for British warship 1800</t>
  </si>
  <si>
    <t>0.166 mast diameter * pi</t>
  </si>
  <si>
    <t>Main topmast hounded (feet)</t>
  </si>
  <si>
    <t>Main mast hounded (feet)</t>
  </si>
  <si>
    <t>Beam * 0.83</t>
  </si>
  <si>
    <t>Hounded + pole</t>
  </si>
  <si>
    <t>Fore topmast hounded (feet)</t>
  </si>
  <si>
    <t>Main topmast hounded * 1</t>
  </si>
  <si>
    <t>Foremast * 0.49</t>
  </si>
  <si>
    <t>LOF * 0.572</t>
  </si>
  <si>
    <t>Fore yard * 0.71</t>
  </si>
  <si>
    <t>LOF * 0.7</t>
  </si>
  <si>
    <t>Bowsprit * 0.87</t>
  </si>
  <si>
    <t>Main boom * 0.53</t>
  </si>
  <si>
    <t>Main gaff * 0.73</t>
  </si>
  <si>
    <t>Rankine</t>
  </si>
  <si>
    <t>LOF * 0.33</t>
  </si>
  <si>
    <t>LOF * 0.4</t>
  </si>
  <si>
    <t>Beam * 2.6-2.8</t>
  </si>
  <si>
    <t>Jib boom length (feet)</t>
  </si>
  <si>
    <r>
      <t xml:space="preserve">4. Rankine's variation for schooners of Fincham's Rules in </t>
    </r>
    <r>
      <rPr>
        <i/>
        <sz val="12"/>
        <color theme="1"/>
        <rFont val="Arial"/>
        <family val="2"/>
      </rPr>
      <t>The Baltimore Clipper</t>
    </r>
  </si>
  <si>
    <t>Main mast * 0.9-0.97</t>
  </si>
  <si>
    <t>Beam * 0.83-1.0</t>
  </si>
  <si>
    <t>LOF * 0.66-0.7</t>
  </si>
  <si>
    <t>Main boom * 0.44-0.53</t>
  </si>
  <si>
    <t>Main gaff * 0.73-1.0</t>
  </si>
  <si>
    <t>Fore yard * 0.7-0.75</t>
  </si>
  <si>
    <t>Line of Flotation (LOF) (feet)=</t>
  </si>
  <si>
    <t>Max.</t>
  </si>
  <si>
    <t>Min.</t>
  </si>
  <si>
    <t>Ave.</t>
  </si>
  <si>
    <t>LOF * 0.48-0.57</t>
  </si>
  <si>
    <t>Main mast diameter (inches)=</t>
  </si>
  <si>
    <t>Fore mast diameter (inches)=</t>
  </si>
  <si>
    <t>Main topmast length (feet)=</t>
  </si>
  <si>
    <t>Main topmast diameter (inches)=</t>
  </si>
  <si>
    <t>Fore topmast diameter (inches)=</t>
  </si>
  <si>
    <t>Fore topmast length (feet)=</t>
  </si>
  <si>
    <t>1:1 scale</t>
  </si>
  <si>
    <t>Inches</t>
  </si>
  <si>
    <t>Notes</t>
  </si>
  <si>
    <t>4/5 full rigged ship diameter</t>
  </si>
  <si>
    <t>Average of many topsail schooners relative to length</t>
  </si>
  <si>
    <t>Main mast total length (feet)=</t>
  </si>
  <si>
    <t>Fore mast total length (feet)=</t>
  </si>
  <si>
    <t>Main mast partners to top (feet)</t>
  </si>
  <si>
    <t>Model main mast housing length (inches)</t>
  </si>
  <si>
    <t>Desired for model (theoretical)</t>
  </si>
  <si>
    <t>Dimension from model (actual)</t>
  </si>
  <si>
    <t>Model fore mast housing length (inches)</t>
  </si>
  <si>
    <t>Fore mast partners to top (feet)</t>
  </si>
  <si>
    <t>Main mast less model housing</t>
  </si>
  <si>
    <t>Model Theoretical Dimensions</t>
  </si>
  <si>
    <t>Fore mast less model housing</t>
  </si>
  <si>
    <t>Main mast foot to keelson (inches)</t>
  </si>
  <si>
    <t>Fore mast foot to keelson (inches)</t>
  </si>
  <si>
    <t>Fore mast hounded (foot to hounds) (feet)</t>
  </si>
  <si>
    <t>Main mast hounded (foot to hounds) (feet)</t>
  </si>
  <si>
    <t>Fore mast partners to hounds (feet)</t>
  </si>
  <si>
    <t>6.18 drawing = 24.72 feet</t>
  </si>
  <si>
    <t>6.59 drawing = 26.36 feet</t>
  </si>
  <si>
    <t>diameter/length</t>
  </si>
  <si>
    <t>fore mast diameter (inches)</t>
  </si>
  <si>
    <t>main mast diameter (inches)</t>
  </si>
  <si>
    <t>Mast diameter calculations</t>
  </si>
  <si>
    <t>Baltimore Clipper page number</t>
  </si>
  <si>
    <t>bowsprit diameter (inches)</t>
  </si>
  <si>
    <t>total main mast length (feet)</t>
  </si>
  <si>
    <t>total fore mast length (feet)</t>
  </si>
  <si>
    <t>total bowsprit length (feet)</t>
  </si>
  <si>
    <t>114-2</t>
  </si>
  <si>
    <t>114-3</t>
  </si>
  <si>
    <t>114-5</t>
  </si>
  <si>
    <t>Total main mast length (feet)</t>
  </si>
  <si>
    <t>Total fore mast length (feet)</t>
  </si>
  <si>
    <t>Bowsprit length</t>
  </si>
  <si>
    <t>116-6</t>
  </si>
  <si>
    <t>122-14</t>
  </si>
  <si>
    <t>122-15</t>
  </si>
  <si>
    <t>124-17</t>
  </si>
  <si>
    <t>126-18</t>
  </si>
  <si>
    <t>revenue</t>
  </si>
  <si>
    <t>service</t>
  </si>
  <si>
    <t>Bowsprit/main mast</t>
  </si>
  <si>
    <t>Bowsprit/fore mast</t>
  </si>
  <si>
    <t>Bowsprit calculations</t>
  </si>
  <si>
    <t>Bowsprit average length (feet)</t>
  </si>
  <si>
    <t>Bowsprit/main mast average</t>
  </si>
  <si>
    <t>Bowsprit /fore mast average</t>
  </si>
  <si>
    <t>Fore mast average length (feet)</t>
  </si>
  <si>
    <t>Main mast average length (feet)</t>
  </si>
  <si>
    <t>Averages for first four</t>
  </si>
  <si>
    <t>Average diameter/length =</t>
  </si>
  <si>
    <t>Hull length (feet)</t>
  </si>
  <si>
    <t>Hull beam (feet)</t>
  </si>
  <si>
    <t>Main mast/hull length</t>
  </si>
  <si>
    <t>Main mast/hull beam</t>
  </si>
  <si>
    <t>Fore mast/hull length</t>
  </si>
  <si>
    <t>Fore mast/hull beam</t>
  </si>
  <si>
    <t>Bowsprit/hull length</t>
  </si>
  <si>
    <t>Bowsprit/hull beam</t>
  </si>
  <si>
    <t>Averages</t>
  </si>
  <si>
    <t>Average main mast length/hull beam</t>
  </si>
  <si>
    <t>Average main mast length/hull length</t>
  </si>
  <si>
    <t>Average fore mast length/hull length</t>
  </si>
  <si>
    <t>Average fore mast length/hull beam</t>
  </si>
  <si>
    <t>Average bowsprit length/hull length</t>
  </si>
  <si>
    <t>Average bowsprit length/hull beam</t>
  </si>
  <si>
    <t>Average main mast diameter/mast length</t>
  </si>
  <si>
    <t>Average fore mast diameter/mast length</t>
  </si>
  <si>
    <t>Average bowsprit diameter/bowsprit length</t>
  </si>
  <si>
    <t>Beam</t>
  </si>
  <si>
    <t>Deck</t>
  </si>
  <si>
    <t>Perps</t>
  </si>
  <si>
    <t>Jib boom length</t>
  </si>
  <si>
    <t>Jib boom diameter</t>
  </si>
  <si>
    <t>Albatros model (all dimensions in inches)</t>
  </si>
  <si>
    <t>Topsail yard length</t>
  </si>
  <si>
    <t>Topsail yard diameter</t>
  </si>
  <si>
    <t>Fore gaff length</t>
  </si>
  <si>
    <t>Fore gaff diameter</t>
  </si>
  <si>
    <t>Main boom length</t>
  </si>
  <si>
    <t>Main boom diameter</t>
  </si>
  <si>
    <t>Fore stunsail boom length</t>
  </si>
  <si>
    <t>Fore stunsail boom diameter</t>
  </si>
  <si>
    <t>Fore stunsail yard length</t>
  </si>
  <si>
    <t>Fore stunsail yard diameter</t>
  </si>
  <si>
    <t>Ringtail boom length</t>
  </si>
  <si>
    <t>Ringtail boom diameter</t>
  </si>
  <si>
    <t>Ringtal yard length</t>
  </si>
  <si>
    <t>Ringtail yard diameter</t>
  </si>
  <si>
    <t>Actual</t>
  </si>
  <si>
    <t>Main gaff  length</t>
  </si>
  <si>
    <t>Main gaff diameter</t>
  </si>
  <si>
    <t>Diameter</t>
  </si>
  <si>
    <t>Length</t>
  </si>
  <si>
    <t>Blocks</t>
  </si>
  <si>
    <t>Single</t>
  </si>
  <si>
    <t>Block</t>
  </si>
  <si>
    <t>Size</t>
  </si>
  <si>
    <t>Double</t>
  </si>
  <si>
    <t>Syren Ship Model rope diameter</t>
  </si>
  <si>
    <t>Dark brown, tan, light brown</t>
  </si>
  <si>
    <t>Dark brown (0.65), tan, light brown</t>
  </si>
  <si>
    <t>Color</t>
  </si>
  <si>
    <t>Standing rigging diameter calculations</t>
  </si>
  <si>
    <t>Runing rigging diameter calculations</t>
  </si>
  <si>
    <t>Fore stay * 0.375</t>
  </si>
  <si>
    <t>Fore stay * 0.25</t>
  </si>
  <si>
    <t>Fore stay * 0.4</t>
  </si>
  <si>
    <t>Fore stay * 0.5</t>
  </si>
  <si>
    <t>Fore topmast stay * 0.66</t>
  </si>
  <si>
    <t>Fore topmast stay * 0165</t>
  </si>
  <si>
    <t>Brace pendant * 0.66</t>
  </si>
  <si>
    <t>Fore topmast stay * 0.9</t>
  </si>
  <si>
    <t>Fore topmast stay * 0.4</t>
  </si>
  <si>
    <t>Fore topmast stay * 0.45</t>
  </si>
  <si>
    <t>Fore topmast stay * 0.5</t>
  </si>
  <si>
    <t>Fore stay * 0.19</t>
  </si>
  <si>
    <t>Fore stay * 0.125</t>
  </si>
  <si>
    <t>Fore stay * 0.55</t>
  </si>
  <si>
    <t>Fore yard footropes * 1</t>
  </si>
  <si>
    <t>Fore topmast stay * 0.375</t>
  </si>
  <si>
    <t>Fore topmast stay * 0.25</t>
  </si>
  <si>
    <t>Fore topmast stay * 0.33</t>
  </si>
  <si>
    <t>Fore stay * 0.45</t>
  </si>
  <si>
    <t>Fore topgallant stay * 0.66</t>
  </si>
  <si>
    <t>Fore topgallant stay * 0.55</t>
  </si>
  <si>
    <t>Fore topgallant stay * 0.33</t>
  </si>
  <si>
    <t>Fore topsail stay cirumference</t>
  </si>
  <si>
    <t>Fore topsail stay diameter</t>
  </si>
  <si>
    <t>Fore topgallant stay circumberence</t>
  </si>
  <si>
    <t>Fore topgallant stay diameter</t>
  </si>
  <si>
    <t>Topmast stay * 0.5</t>
  </si>
  <si>
    <t>Fore stay * 0.66</t>
  </si>
  <si>
    <t>Main stay * 0.5</t>
  </si>
  <si>
    <t>Main stay * 0.55</t>
  </si>
  <si>
    <t>Main stay * 0.275</t>
  </si>
  <si>
    <t>Main stay * 0.6</t>
  </si>
  <si>
    <t>Main stay * 0.4</t>
  </si>
  <si>
    <t>Main stay * 0.285</t>
  </si>
  <si>
    <t>Main stay * 0.25</t>
  </si>
  <si>
    <t>Main stay * 0.3</t>
  </si>
  <si>
    <t>Main stay * 0.33</t>
  </si>
  <si>
    <t>Main mast diameter * 0.62</t>
  </si>
  <si>
    <t>Main stay * 0.45</t>
  </si>
  <si>
    <t>Main stay * 0.22</t>
  </si>
  <si>
    <t>2 inches</t>
  </si>
  <si>
    <t>0.95 gun bore</t>
  </si>
  <si>
    <t>Main stay * 0.36</t>
  </si>
  <si>
    <t>Main stay * 0.28</t>
  </si>
  <si>
    <t>Main stay * 0.20</t>
  </si>
  <si>
    <t>Main stay * 0.30</t>
  </si>
  <si>
    <t>Main stay * 0.24</t>
  </si>
  <si>
    <t>Main stay * .028</t>
  </si>
  <si>
    <t>Main stay * 0.40</t>
  </si>
  <si>
    <t>Main stay * 0.19</t>
  </si>
  <si>
    <t>Main stay * 0.06</t>
  </si>
  <si>
    <t>Main stay * 0.15</t>
  </si>
  <si>
    <t>Main stay * 0.16</t>
  </si>
  <si>
    <t>Main stay * 0.10</t>
  </si>
  <si>
    <t>Main stay * 0.26</t>
  </si>
  <si>
    <t>Main stay * 0.21</t>
  </si>
  <si>
    <t>Main stay * 0.23</t>
  </si>
  <si>
    <t>Main stay * 0.18</t>
  </si>
  <si>
    <t>Main topmast stay * 0.5</t>
  </si>
  <si>
    <t>Main topmast stay * 0.45</t>
  </si>
  <si>
    <t>Main topmast stay * 0.237</t>
  </si>
  <si>
    <t>Main topmast stay * 0.18</t>
  </si>
  <si>
    <t>Fore topmast stay * 0.3</t>
  </si>
  <si>
    <t>Fore yard halliard diameter</t>
  </si>
  <si>
    <t>Fore yard halliard circumference</t>
  </si>
  <si>
    <t>Breech rope circumference</t>
  </si>
  <si>
    <t>Breech rope diameter</t>
  </si>
  <si>
    <t>Gun tackle circumference</t>
  </si>
  <si>
    <t>Boat falls circumference</t>
  </si>
  <si>
    <t>Anchor buoy slings circumference</t>
  </si>
  <si>
    <t>Anchor buoy rope circumference</t>
  </si>
  <si>
    <t>Anchor cable circumference</t>
  </si>
  <si>
    <t>Fish pendant after guy circumference</t>
  </si>
  <si>
    <t>Fish pendant fore guy circumference</t>
  </si>
  <si>
    <t>Fish pendant tackle circumference</t>
  </si>
  <si>
    <t>Fore yard slings circumference</t>
  </si>
  <si>
    <t>Fore yard sheets circumference</t>
  </si>
  <si>
    <t>Fore yard tacks circumference</t>
  </si>
  <si>
    <t>Fore yard brace pendant circumference</t>
  </si>
  <si>
    <t>Fore yard brace circumference</t>
  </si>
  <si>
    <t>Fore yard truss pendants circumference</t>
  </si>
  <si>
    <t>Fore yard foot ropes circumference</t>
  </si>
  <si>
    <t>Fore yard lift circumference</t>
  </si>
  <si>
    <t>Fore course sheets circumference</t>
  </si>
  <si>
    <t>Fore course tacks circumference</t>
  </si>
  <si>
    <t>Fore course clew circumference</t>
  </si>
  <si>
    <t>Fore course buntline circumference</t>
  </si>
  <si>
    <t>Fore topsail yard halliard circumference</t>
  </si>
  <si>
    <t>Fore topsail yard lifts circumference</t>
  </si>
  <si>
    <t>Fore topsail yard brace pendant circumference</t>
  </si>
  <si>
    <t>Fore topsail yard brace circumference</t>
  </si>
  <si>
    <t>Fore topsail yard footropes circumference</t>
  </si>
  <si>
    <t>Fore topsail sheet circumference</t>
  </si>
  <si>
    <t>Fore topsail clewline circumference</t>
  </si>
  <si>
    <t>Fore topsail buntline circumference</t>
  </si>
  <si>
    <t>Fore topsail stunsail halliards circumference</t>
  </si>
  <si>
    <t>Fore topsail stunsail sheets circumference</t>
  </si>
  <si>
    <t>Fore topsail stunsail tacks circumference</t>
  </si>
  <si>
    <t>Fore topsail stunsail downhaul circumference</t>
  </si>
  <si>
    <t>Fore staysail halliard circumference</t>
  </si>
  <si>
    <t>Fore staysail sheet pendants circumference</t>
  </si>
  <si>
    <t>Fore staysail sheet whips circumference</t>
  </si>
  <si>
    <t>Fore staysail tacks circumference</t>
  </si>
  <si>
    <t>Fore staysail downhaul circumference</t>
  </si>
  <si>
    <t>Fore topmast staysail halliard circumference</t>
  </si>
  <si>
    <t>Fore topmast staysail sheet pendants circumference</t>
  </si>
  <si>
    <t>Fore topmast staysail sheet whips circumference</t>
  </si>
  <si>
    <t>Fore topmast staysail tacks circumference</t>
  </si>
  <si>
    <t>Fore stopmast staysail downhaul circumference</t>
  </si>
  <si>
    <t>Main topmast staysail halliard circumference</t>
  </si>
  <si>
    <t>Main topmast staysail tack circumference</t>
  </si>
  <si>
    <t>Main topmast staysail sheet circumference</t>
  </si>
  <si>
    <t>Main topmast staysail downhaul circumference</t>
  </si>
  <si>
    <t>Main topmast staysail brail circumference</t>
  </si>
  <si>
    <t>Jib sail stay circumference</t>
  </si>
  <si>
    <t>Jib sail halliard circumference</t>
  </si>
  <si>
    <t>Jib sail tack circumference</t>
  </si>
  <si>
    <t>Jib sail outhaul circumference</t>
  </si>
  <si>
    <t>Jib sail outhaul tackle circumference</t>
  </si>
  <si>
    <t>Jib sail downhaul circumference</t>
  </si>
  <si>
    <t>Jib sail sheet pendants circumference</t>
  </si>
  <si>
    <t>Jib sail sheet whips and tackle circumference</t>
  </si>
  <si>
    <t>Flying jib sail halliards circumference</t>
  </si>
  <si>
    <t>Flying jib sail sheets circumference</t>
  </si>
  <si>
    <t>Flying jib sail tacks circumference</t>
  </si>
  <si>
    <t>Flying jib sail downhaul circumference</t>
  </si>
  <si>
    <t>Main gaff peak halliard circumference</t>
  </si>
  <si>
    <t>Main gaff topping lift circumference</t>
  </si>
  <si>
    <t>Main gaff vang pendants circumference</t>
  </si>
  <si>
    <t>Main gaff vang whips circumference</t>
  </si>
  <si>
    <t>Main gaff throat halliard circumference</t>
  </si>
  <si>
    <t>Main boom topping lift circumference</t>
  </si>
  <si>
    <t>Main boom sheets circumference</t>
  </si>
  <si>
    <t>Main sail halliard circumference</t>
  </si>
  <si>
    <t>Main sail tack circumference</t>
  </si>
  <si>
    <t>Main sail downhaul circumference</t>
  </si>
  <si>
    <t>Main sail sheets circumference</t>
  </si>
  <si>
    <t>Main sail outhaul circumference</t>
  </si>
  <si>
    <t>Signal halliard circumference</t>
  </si>
  <si>
    <t>Cat falls circumference</t>
  </si>
  <si>
    <t>Shank painter tail circumference</t>
  </si>
  <si>
    <t>Fish pendant circumference</t>
  </si>
  <si>
    <t>Fore yard slings diameter</t>
  </si>
  <si>
    <t>Fore yard sheets diameter</t>
  </si>
  <si>
    <t>Fore yard tacks diameter</t>
  </si>
  <si>
    <t>Fore yard brace pendant diameter</t>
  </si>
  <si>
    <t>Fore yard brace diameter</t>
  </si>
  <si>
    <t>Fore yard truss pendants diameter</t>
  </si>
  <si>
    <t>Fore yard foot ropes diameter</t>
  </si>
  <si>
    <t>Fore yard lift diameter</t>
  </si>
  <si>
    <t>Fore course sheets diameter</t>
  </si>
  <si>
    <t>Fore course tacks diameter</t>
  </si>
  <si>
    <t>Fore course clew diameter</t>
  </si>
  <si>
    <t>Fore course buntline diameter</t>
  </si>
  <si>
    <t>Fore topsail yard halliard diameter</t>
  </si>
  <si>
    <t>Fore topsail yard lifts diameter</t>
  </si>
  <si>
    <t>Fore topsail yard brace pendant diameter</t>
  </si>
  <si>
    <t>Fore topsail yard brace diameter</t>
  </si>
  <si>
    <t>Fore topsail yard footropes diameter</t>
  </si>
  <si>
    <t>Fore topsail sheet diameter</t>
  </si>
  <si>
    <t>Fore topsail clewline diameter</t>
  </si>
  <si>
    <t>Fore topsail buntline diameter</t>
  </si>
  <si>
    <t>Fore topsail stunsail halliards diameter</t>
  </si>
  <si>
    <t>Fore topsail stunsail sheets diameter</t>
  </si>
  <si>
    <t>Fore topsail stunsail tacks diameter</t>
  </si>
  <si>
    <t>Fore topsail stunsail downhaul diameter</t>
  </si>
  <si>
    <t>Fore staysail halliard diameter</t>
  </si>
  <si>
    <t>Fore staysail sheet pendants diameter</t>
  </si>
  <si>
    <t>Fore staysail sheet whips diameter</t>
  </si>
  <si>
    <t>Fore staysail tacks diameter</t>
  </si>
  <si>
    <t>Fore staysail downhaul diameter</t>
  </si>
  <si>
    <t>Fore topmast staysail halliard diameter</t>
  </si>
  <si>
    <t>Fore topmast staysail sheet pendants diameter</t>
  </si>
  <si>
    <t>Fore topmast staysail sheet whips diameter</t>
  </si>
  <si>
    <t>Fore topmast staysail tacks diameter</t>
  </si>
  <si>
    <t>Fore stopmast staysail downhaul diameter</t>
  </si>
  <si>
    <t>Main topmast staysail halliard diameter</t>
  </si>
  <si>
    <t>Main topmast staysail tack diameter</t>
  </si>
  <si>
    <t>Main topmast staysail sheet diameter</t>
  </si>
  <si>
    <t>Main topmast staysail downhaul diameter</t>
  </si>
  <si>
    <t>Main topmast staysail brail diameter</t>
  </si>
  <si>
    <t>Jib sail stay diameter</t>
  </si>
  <si>
    <t>Jib sail halliard diameter</t>
  </si>
  <si>
    <t>Jib sail tack diameter</t>
  </si>
  <si>
    <t>Jib sail outhaul diameter</t>
  </si>
  <si>
    <t>Jib sail outhaul tackle diameter</t>
  </si>
  <si>
    <t>Jib sail downhaul diameter</t>
  </si>
  <si>
    <t>Jib sail sheet pendants diameter</t>
  </si>
  <si>
    <t>Jib sail sheet whips and tackle diameter</t>
  </si>
  <si>
    <t>Flying jib sail halliards diameter</t>
  </si>
  <si>
    <t>Flying jib sail sheets diameter</t>
  </si>
  <si>
    <t>Flying jib sail tacks diameter</t>
  </si>
  <si>
    <t>Flying jib sail downhaul diameter</t>
  </si>
  <si>
    <t>Main gaff peak halliard diameter</t>
  </si>
  <si>
    <t>Main gaff topping lift diameter</t>
  </si>
  <si>
    <t>Main gaff vang pendants diameter</t>
  </si>
  <si>
    <t>Main gaff vang whips diameter</t>
  </si>
  <si>
    <t>Main gaff throat halliard diameter</t>
  </si>
  <si>
    <t>Main boom topping lift diameter</t>
  </si>
  <si>
    <t>Main boom sheets diameter</t>
  </si>
  <si>
    <t>Main sail halliard diameter</t>
  </si>
  <si>
    <t>Main sail tack diameter</t>
  </si>
  <si>
    <t>Main sail downhaul diameter</t>
  </si>
  <si>
    <t>Main sail sheets diameter</t>
  </si>
  <si>
    <t>Main sail outhaul diameter</t>
  </si>
  <si>
    <t>Signal halliard diameter</t>
  </si>
  <si>
    <t>Cat falls diameter</t>
  </si>
  <si>
    <t>Shank painter tail diameter</t>
  </si>
  <si>
    <t>Fish pendant diameter</t>
  </si>
  <si>
    <t>Fish pendant tackle diameter</t>
  </si>
  <si>
    <t>Fish pendant fore guy diameter</t>
  </si>
  <si>
    <t>Fish pendant after guy diameter</t>
  </si>
  <si>
    <t>Anchor cable diameter</t>
  </si>
  <si>
    <t>Anchor buoy rope diameter</t>
  </si>
  <si>
    <t>Anchor buoy slings diameter</t>
  </si>
  <si>
    <t>Boat falls diameter</t>
  </si>
  <si>
    <t>Gun tackle diameter</t>
  </si>
  <si>
    <t>Fore topgalllant stay diameter (inches)</t>
  </si>
  <si>
    <t>Fore topgallant stay circumference (inches)</t>
  </si>
  <si>
    <t>Model</t>
  </si>
  <si>
    <t>Main stay</t>
  </si>
  <si>
    <t>Fore lower stays</t>
  </si>
  <si>
    <t>Main lower stays</t>
  </si>
  <si>
    <t>Fore topmast stays</t>
  </si>
  <si>
    <t>Main topmast stays</t>
  </si>
  <si>
    <t>Fore topgallant stay</t>
  </si>
  <si>
    <t>Lower stay lanyards</t>
  </si>
  <si>
    <t>Upper stay lanyards</t>
  </si>
  <si>
    <t>Upper stay tackle</t>
  </si>
  <si>
    <t>Fore mast shrouds</t>
  </si>
  <si>
    <t>Main mast shrouds</t>
  </si>
  <si>
    <t>Bobstay</t>
  </si>
  <si>
    <t>Bobstay lanyards</t>
  </si>
  <si>
    <t>Gammoning</t>
  </si>
  <si>
    <t>Bowsprit shrouds</t>
  </si>
  <si>
    <t>Bowsprit shroud lanyard</t>
  </si>
  <si>
    <t>Martingale  stay</t>
  </si>
  <si>
    <t>Martingale backstay</t>
  </si>
  <si>
    <t>Jib boom guy</t>
  </si>
  <si>
    <t>Fore pendant tackle</t>
  </si>
  <si>
    <t>Main pendant tackle</t>
  </si>
  <si>
    <t>Fore yard halliard</t>
  </si>
  <si>
    <t>Fore yard slings</t>
  </si>
  <si>
    <t>Fore yard sheets</t>
  </si>
  <si>
    <t>Fore yard tacks</t>
  </si>
  <si>
    <t>Fore yard brace pendant</t>
  </si>
  <si>
    <t>Fore yard brace</t>
  </si>
  <si>
    <t>Fore yard truss pendants</t>
  </si>
  <si>
    <t>Fore yard foot ropes</t>
  </si>
  <si>
    <t>Fore yard lift</t>
  </si>
  <si>
    <t>Fore course sheets</t>
  </si>
  <si>
    <t>Fore course tacks</t>
  </si>
  <si>
    <t>Fore course clew</t>
  </si>
  <si>
    <t>Fore course buntline</t>
  </si>
  <si>
    <t>Fore topsail yard halliard</t>
  </si>
  <si>
    <t>Fore topsail yard lifts</t>
  </si>
  <si>
    <t>Fore topsail yard brace pendant</t>
  </si>
  <si>
    <t>Fore topsail yard brace</t>
  </si>
  <si>
    <t>Fore topsail yard footropes</t>
  </si>
  <si>
    <t>Fore topsail sheet</t>
  </si>
  <si>
    <t>Fore topsail clewline</t>
  </si>
  <si>
    <t>Fore topsail buntline</t>
  </si>
  <si>
    <t>Fore topsail stunsail halliards</t>
  </si>
  <si>
    <t>Fore topsail stunsail sheets</t>
  </si>
  <si>
    <t>Fore topsail stunsail tacks</t>
  </si>
  <si>
    <t>Fore topsail stunsail downhaul</t>
  </si>
  <si>
    <t>Fore staysail halliard</t>
  </si>
  <si>
    <t>Fore staysail sheet pendants</t>
  </si>
  <si>
    <t>Fore staysail sheet whips</t>
  </si>
  <si>
    <t>Fore staysail tacks</t>
  </si>
  <si>
    <t>Fore staysail downhaul</t>
  </si>
  <si>
    <t>Fore topmast staysail halliard</t>
  </si>
  <si>
    <t>Fore topmast staysail sheet pendants</t>
  </si>
  <si>
    <t>Fore topmast staysail sheet whips</t>
  </si>
  <si>
    <t>Fore topmast staysail tacks</t>
  </si>
  <si>
    <t>Fore stopmast staysail downhaul</t>
  </si>
  <si>
    <t>Main topmast staysail halliard</t>
  </si>
  <si>
    <t>Main topmast staysail tack</t>
  </si>
  <si>
    <t>Main topmast staysail sheet</t>
  </si>
  <si>
    <t>Main topmast staysail downhaul</t>
  </si>
  <si>
    <t>Main topmast staysail brail</t>
  </si>
  <si>
    <t>Jib sail stay</t>
  </si>
  <si>
    <t>Jib sail halliard</t>
  </si>
  <si>
    <t>Jib sail tack</t>
  </si>
  <si>
    <t>Jib sail outhaul</t>
  </si>
  <si>
    <t>Jib sail outhaul tackle</t>
  </si>
  <si>
    <t>Jib sail downhaul</t>
  </si>
  <si>
    <t>Jib sail sheet pendants</t>
  </si>
  <si>
    <t>Jib sail sheet whips and tackle</t>
  </si>
  <si>
    <t>Flying jib sail halliards</t>
  </si>
  <si>
    <t>Flying jib sail sheets</t>
  </si>
  <si>
    <t>Flying jib sail tacks</t>
  </si>
  <si>
    <t>Flying jib sail downhaul</t>
  </si>
  <si>
    <t>Main gaff peak halliard</t>
  </si>
  <si>
    <t>Main gaff topping lift</t>
  </si>
  <si>
    <t>Main gaff vang pendants</t>
  </si>
  <si>
    <t>Main gaff vang whips</t>
  </si>
  <si>
    <t>Main gaff throat halliard</t>
  </si>
  <si>
    <t>Main boom topping lift</t>
  </si>
  <si>
    <t>Main boom sheets</t>
  </si>
  <si>
    <t>Main sail halliard</t>
  </si>
  <si>
    <t>Main sail tack</t>
  </si>
  <si>
    <t>Main sail downhaul</t>
  </si>
  <si>
    <t>Main sail sheets</t>
  </si>
  <si>
    <t>Main sail outhaul</t>
  </si>
  <si>
    <t>Signal halliard</t>
  </si>
  <si>
    <t>Cat falls</t>
  </si>
  <si>
    <t>Shank painter tail</t>
  </si>
  <si>
    <t>Fish pendant</t>
  </si>
  <si>
    <t>Fish pendant tackle</t>
  </si>
  <si>
    <t>Fish pendant fore guy</t>
  </si>
  <si>
    <t>Fish pendant after guy</t>
  </si>
  <si>
    <t>Anchor cable</t>
  </si>
  <si>
    <t>Anchor buoy rope</t>
  </si>
  <si>
    <t>Anchor buoy slings</t>
  </si>
  <si>
    <t>Boat falls</t>
  </si>
  <si>
    <t>Gun tackle</t>
  </si>
  <si>
    <t>Calculation</t>
  </si>
  <si>
    <t>Standing Rigging</t>
  </si>
  <si>
    <t>Runing Rigging</t>
  </si>
  <si>
    <t>Fore topsail stay</t>
  </si>
  <si>
    <t>Lower stay tackle</t>
  </si>
  <si>
    <t>Circum-</t>
  </si>
  <si>
    <t>ference</t>
  </si>
  <si>
    <t>Average baltimore clipper values</t>
  </si>
  <si>
    <t>Cost</t>
  </si>
  <si>
    <t>Each</t>
  </si>
  <si>
    <t>Total</t>
  </si>
  <si>
    <t>Quantity</t>
  </si>
  <si>
    <t>Hull beam</t>
  </si>
  <si>
    <t>Hull length on deck</t>
  </si>
  <si>
    <t>Main mast length</t>
  </si>
  <si>
    <t>Fore mast length</t>
  </si>
  <si>
    <t>Main mast diameter</t>
  </si>
  <si>
    <t>Fore mast diameter</t>
  </si>
  <si>
    <t>Bowsprit diameter</t>
  </si>
  <si>
    <t>Main topmast length</t>
  </si>
  <si>
    <t>Main topmast diameter</t>
  </si>
  <si>
    <t>Fore topmast length</t>
  </si>
  <si>
    <t>Fore topmast diameter</t>
  </si>
  <si>
    <t>Hull length between perpendiculars</t>
  </si>
  <si>
    <t>Spar Dimensions</t>
  </si>
  <si>
    <t>Fore course yard length</t>
  </si>
  <si>
    <t>Fore course yard diameter</t>
  </si>
  <si>
    <t>Cock</t>
  </si>
  <si>
    <t>Main mast length deck to top (feet)</t>
  </si>
  <si>
    <t>Beam * 2.25</t>
  </si>
  <si>
    <t>Deck to top / 6</t>
  </si>
  <si>
    <t>Main mast hounds diameter (inches)</t>
  </si>
  <si>
    <t>Diameter at deck * 0.875</t>
  </si>
  <si>
    <t>Beam * 0.5</t>
  </si>
  <si>
    <t>Main topmast pole head length (feet)</t>
  </si>
  <si>
    <t>Beam * 1.5 * pole head</t>
  </si>
  <si>
    <t>Topmast length * 1/5</t>
  </si>
  <si>
    <t>Beam * 7/15</t>
  </si>
  <si>
    <t>Beam * 0.75</t>
  </si>
  <si>
    <t>Main mast length (foot to head) (feet)</t>
  </si>
  <si>
    <t>Deck to top + housing</t>
  </si>
  <si>
    <t>Beam *1.75</t>
  </si>
  <si>
    <t>Beam / 7.0625</t>
  </si>
  <si>
    <t>Main boom diameter * 2/3</t>
  </si>
  <si>
    <t>Main mast diameter * 11/12</t>
  </si>
  <si>
    <t>Fore mast length deck to top (feet)</t>
  </si>
  <si>
    <t>Main mast deck to top * 11/12</t>
  </si>
  <si>
    <t>Fore mast deck to top / 6</t>
  </si>
  <si>
    <t>Fore topmast hounds diameter (inches)</t>
  </si>
  <si>
    <t>Diameter at deck * 7/8</t>
  </si>
  <si>
    <t>Diameter at hounds * 7/8</t>
  </si>
  <si>
    <t>Beam * 2</t>
  </si>
  <si>
    <t>Beam * 2/5</t>
  </si>
  <si>
    <t>Beam * 1/5</t>
  </si>
  <si>
    <t>Beam * 3/8</t>
  </si>
  <si>
    <t>Distance between fore and main masts</t>
  </si>
  <si>
    <t>Beam * 0.25</t>
  </si>
  <si>
    <t>(Beam * 11/12) * 1.5</t>
  </si>
  <si>
    <t>(Beam * 0.917) * 1.25</t>
  </si>
  <si>
    <t>(Beam * 0.917) * 3/8</t>
  </si>
  <si>
    <t>Hedderwick</t>
  </si>
  <si>
    <t>(Beam * 3 + 1/3 LWL  + housing) * 2/3</t>
  </si>
  <si>
    <t>(Beam * 3 + 1/3 LWL  + housing) * 0.55</t>
  </si>
  <si>
    <t>17/18 to 19/20 main mast length</t>
  </si>
  <si>
    <t>2/13 mast length</t>
  </si>
  <si>
    <t>1/5 mast length</t>
  </si>
  <si>
    <t>1 inch for every 4 feet mast length</t>
  </si>
  <si>
    <t>1 inch for every 3 1/2 foot length</t>
  </si>
  <si>
    <t>1/2 length of the fore mast</t>
  </si>
  <si>
    <t>1/2 the length of the fore mast</t>
  </si>
  <si>
    <t>1/6 the length of the top mast</t>
  </si>
  <si>
    <t>1 inch for every 4 feet length</t>
  </si>
  <si>
    <t xml:space="preserve">Load water line (LWL) (feet) = </t>
  </si>
  <si>
    <t>(LWL + beam) * 0.44</t>
  </si>
  <si>
    <t>3/4 fore yard length</t>
  </si>
  <si>
    <t>3/14 length of yard</t>
  </si>
  <si>
    <t>Same as fore mast at partners</t>
  </si>
  <si>
    <t>1 inch for every 3 feet length</t>
  </si>
  <si>
    <t>1 inch for evey 4.5 feet length</t>
  </si>
  <si>
    <t>2/3 length of boom</t>
  </si>
  <si>
    <t>1.5 the distance from main mast to sheet</t>
  </si>
  <si>
    <t>((LWL/3 + beam)/2) * 7/6</t>
  </si>
  <si>
    <t>(LWL / 3 + beam) / 2 + housing</t>
  </si>
  <si>
    <t>Mast housing length (feet) =</t>
  </si>
  <si>
    <t>Bowsprit housing (feet)</t>
  </si>
  <si>
    <t>2/3 diameter at the partners</t>
  </si>
  <si>
    <t>[Total length - head]</t>
  </si>
  <si>
    <t>[Deck to top - head]</t>
  </si>
  <si>
    <t>[Total length - housing]</t>
  </si>
  <si>
    <t>[Length - head]</t>
  </si>
  <si>
    <t>Breech rope (6 pounder)</t>
  </si>
  <si>
    <t>Breech rope (12 pounder)</t>
  </si>
  <si>
    <t>1. Lees data for British warships 1800-1815</t>
  </si>
  <si>
    <r>
      <t xml:space="preserve">5. Cock's rules for schooners in </t>
    </r>
    <r>
      <rPr>
        <i/>
        <sz val="12"/>
        <color theme="1"/>
        <rFont val="Arial"/>
        <family val="2"/>
      </rPr>
      <t>A Treatise on Mast Making</t>
    </r>
    <r>
      <rPr>
        <sz val="12"/>
        <color theme="1"/>
        <rFont val="Arial"/>
        <family val="2"/>
      </rPr>
      <t xml:space="preserve"> 1840</t>
    </r>
  </si>
  <si>
    <r>
      <t xml:space="preserve">6. Hedderwick's rules for schooners in </t>
    </r>
    <r>
      <rPr>
        <i/>
        <sz val="12"/>
        <color theme="1"/>
        <rFont val="Arial"/>
        <family val="2"/>
      </rPr>
      <t>A Treatise on Marine Architecture</t>
    </r>
    <r>
      <rPr>
        <sz val="12"/>
        <color theme="1"/>
        <rFont val="Arial"/>
        <family val="2"/>
      </rPr>
      <t xml:space="preserve"> 1830</t>
    </r>
  </si>
  <si>
    <t>0.95 gun bore (3.75 inch)</t>
  </si>
  <si>
    <t>0.95 gun bore (4.5 inch)</t>
  </si>
  <si>
    <t>Lower stay * 0.5</t>
  </si>
  <si>
    <t>Fore stay * 0.18</t>
  </si>
  <si>
    <t>1/32</t>
  </si>
  <si>
    <t>5/16</t>
  </si>
  <si>
    <t>5/32</t>
  </si>
  <si>
    <t>1/4</t>
  </si>
  <si>
    <t>3/32</t>
  </si>
  <si>
    <t>Syren</t>
  </si>
  <si>
    <t>Alternate</t>
  </si>
  <si>
    <t>Count</t>
  </si>
  <si>
    <t>Package</t>
  </si>
  <si>
    <t>Number</t>
  </si>
  <si>
    <t>3/32" single block (2.5 mm)</t>
  </si>
  <si>
    <t>3/32" double block (2.5 mm)</t>
  </si>
  <si>
    <t>1/8" single block (3 mm)</t>
  </si>
  <si>
    <t>1/8" double block (3 mm)</t>
  </si>
  <si>
    <t>1/8" triple block (3 mm)</t>
  </si>
  <si>
    <t>5/32" single block (4 mm)</t>
  </si>
  <si>
    <t>5/32" double block (4 mm)</t>
  </si>
  <si>
    <t>3/16" single block (5 mm)</t>
  </si>
  <si>
    <t>3/16" double block (5 mm)</t>
  </si>
  <si>
    <t>1/4" single block (6 mm)</t>
  </si>
  <si>
    <t>1/4" double block (6 mm)</t>
  </si>
  <si>
    <t>1/4" triple block (6 mm)</t>
  </si>
  <si>
    <t>Syren Ship Model block and heart sizes</t>
  </si>
  <si>
    <t>9/32" (7mm) closed heart</t>
  </si>
  <si>
    <t>9/32" (7mm) open heart</t>
  </si>
  <si>
    <t>9/32" fiddle block (7 mm)</t>
  </si>
  <si>
    <t>11/32" fiddle block (9 mm)</t>
  </si>
  <si>
    <t>13/32" fiddle block (10 mm)</t>
  </si>
  <si>
    <t>9/32" single block (7 mm)</t>
  </si>
  <si>
    <t>9/32" double block (7 mm)</t>
  </si>
  <si>
    <t>5/16" single block (8 mm)</t>
  </si>
  <si>
    <t>2 mm double block (5/64")</t>
  </si>
  <si>
    <t>2 mm single block (5/64")</t>
  </si>
  <si>
    <t>7/32" (5.5 mm) closed heart</t>
  </si>
  <si>
    <t>7/32" (5.5 mm) open heart</t>
  </si>
  <si>
    <t>(inches)</t>
  </si>
  <si>
    <t>Total Syren</t>
  </si>
  <si>
    <t>Order =</t>
  </si>
  <si>
    <t>Scale = 1/</t>
  </si>
  <si>
    <t>For Full Scale Ship (feet and inches)</t>
  </si>
  <si>
    <t>Mast and Spar Calculations</t>
  </si>
  <si>
    <t>Model scale dimensions</t>
  </si>
  <si>
    <t>Mast and spar calculations (full scale)</t>
  </si>
  <si>
    <r>
      <rPr>
        <i/>
        <sz val="12"/>
        <color theme="1"/>
        <rFont val="Arial"/>
        <family val="2"/>
      </rPr>
      <t>The Baltimore Clipper</t>
    </r>
    <r>
      <rPr>
        <sz val="12"/>
        <color theme="1"/>
        <rFont val="Arial"/>
        <family val="2"/>
      </rPr>
      <t xml:space="preserve"> page #</t>
    </r>
  </si>
  <si>
    <t>Closest</t>
  </si>
  <si>
    <t>Rope</t>
  </si>
  <si>
    <t>Choices</t>
  </si>
  <si>
    <t>Good</t>
  </si>
  <si>
    <t>So so</t>
  </si>
  <si>
    <t>Bad</t>
  </si>
  <si>
    <t>from real schooner data</t>
  </si>
  <si>
    <t>NONE</t>
  </si>
  <si>
    <t>Calculations</t>
  </si>
  <si>
    <t>Enter values</t>
  </si>
  <si>
    <t>in green</t>
  </si>
  <si>
    <t>COLOR KEY</t>
  </si>
  <si>
    <t>Many calculations involve foot to inches</t>
  </si>
  <si>
    <t>conversions. Do not try to convert to</t>
  </si>
  <si>
    <t>metric. Instead, convert the final foot or</t>
  </si>
  <si>
    <t>inches values to metric.</t>
  </si>
  <si>
    <t>METRIC CONVERSION CAUTION!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</si>
</sst>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00"/>
    <numFmt numFmtId="165" formatCode="&quot;$&quot;#,##0.00"/>
  </numFmts>
  <fonts count="8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b/>
      <sz val="12"/>
      <color rgb="FFFA7D00"/>
      <name val="Arial"/>
      <family val="2"/>
    </font>
    <font>
      <b/>
      <sz val="12"/>
      <color rgb="FF0061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1" applyNumberFormat="0" applyAlignment="0" applyProtection="0"/>
  </cellStyleXfs>
  <cellXfs count="45">
    <xf numFmtId="0" fontId="0" fillId="0" borderId="0" xfId="0"/>
    <xf numFmtId="0" fontId="1" fillId="0" borderId="0" xfId="0" applyFont="1"/>
    <xf numFmtId="0" fontId="0" fillId="0" borderId="0" xfId="0" applyFont="1"/>
    <xf numFmtId="2" fontId="0" fillId="0" borderId="0" xfId="0" applyNumberFormat="1"/>
    <xf numFmtId="0" fontId="1" fillId="0" borderId="0" xfId="0" applyFont="1" applyAlignment="1">
      <alignment horizontal="right"/>
    </xf>
    <xf numFmtId="2" fontId="3" fillId="2" borderId="0" xfId="1" applyNumberFormat="1"/>
    <xf numFmtId="2" fontId="5" fillId="4" borderId="0" xfId="3" applyNumberFormat="1"/>
    <xf numFmtId="0" fontId="4" fillId="3" borderId="0" xfId="2" applyAlignment="1">
      <alignment horizontal="left"/>
    </xf>
    <xf numFmtId="0" fontId="4" fillId="3" borderId="0" xfId="2"/>
    <xf numFmtId="0" fontId="6" fillId="5" borderId="1" xfId="4"/>
    <xf numFmtId="2" fontId="6" fillId="5" borderId="1" xfId="4" applyNumberFormat="1"/>
    <xf numFmtId="164" fontId="3" fillId="2" borderId="0" xfId="1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3" fillId="2" borderId="0" xfId="1"/>
    <xf numFmtId="49" fontId="1" fillId="0" borderId="0" xfId="0" applyNumberFormat="1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49" fontId="3" fillId="2" borderId="0" xfId="1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center"/>
    </xf>
    <xf numFmtId="0" fontId="3" fillId="2" borderId="0" xfId="1" applyAlignment="1">
      <alignment horizontal="left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right"/>
    </xf>
    <xf numFmtId="2" fontId="4" fillId="3" borderId="0" xfId="2" applyNumberFormat="1"/>
    <xf numFmtId="0" fontId="0" fillId="0" borderId="0" xfId="0" applyAlignment="1">
      <alignment horizontal="right"/>
    </xf>
    <xf numFmtId="164" fontId="6" fillId="5" borderId="1" xfId="4" applyNumberFormat="1"/>
    <xf numFmtId="49" fontId="4" fillId="3" borderId="0" xfId="2" applyNumberFormat="1" applyAlignment="1">
      <alignment horizontal="center"/>
    </xf>
    <xf numFmtId="49" fontId="5" fillId="4" borderId="0" xfId="3" applyNumberFormat="1" applyAlignment="1">
      <alignment horizontal="center"/>
    </xf>
    <xf numFmtId="0" fontId="5" fillId="4" borderId="0" xfId="3"/>
    <xf numFmtId="0" fontId="3" fillId="2" borderId="0" xfId="1" applyAlignment="1">
      <alignment horizontal="center"/>
    </xf>
    <xf numFmtId="8" fontId="6" fillId="5" borderId="1" xfId="4" applyNumberFormat="1"/>
    <xf numFmtId="0" fontId="6" fillId="5" borderId="1" xfId="4" applyAlignment="1">
      <alignment horizontal="center"/>
    </xf>
    <xf numFmtId="165" fontId="6" fillId="5" borderId="1" xfId="4" applyNumberFormat="1"/>
    <xf numFmtId="8" fontId="6" fillId="5" borderId="1" xfId="4" applyNumberFormat="1" applyAlignment="1">
      <alignment horizontal="center"/>
    </xf>
    <xf numFmtId="0" fontId="7" fillId="2" borderId="0" xfId="1" applyFont="1"/>
    <xf numFmtId="2" fontId="4" fillId="3" borderId="0" xfId="2" applyNumberFormat="1" applyAlignment="1">
      <alignment horizontal="center"/>
    </xf>
  </cellXfs>
  <cellStyles count="5">
    <cellStyle name="Bad" xfId="2" builtinId="27"/>
    <cellStyle name="Calculation" xfId="4" builtinId="22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58"/>
  <sheetViews>
    <sheetView tabSelected="1" topLeftCell="X1" zoomScale="60" zoomScaleNormal="60" workbookViewId="0">
      <selection activeCell="X36" sqref="X36"/>
    </sheetView>
  </sheetViews>
  <sheetFormatPr defaultRowHeight="15" x14ac:dyDescent="0.25"/>
  <cols>
    <col min="1" max="1" width="43.08984375" customWidth="1"/>
    <col min="2" max="2" width="21.36328125" customWidth="1"/>
    <col min="3" max="3" width="6.26953125" customWidth="1"/>
    <col min="4" max="4" width="1.90625" customWidth="1"/>
    <col min="5" max="5" width="20.7265625" customWidth="1"/>
    <col min="6" max="6" width="6.1796875" customWidth="1"/>
    <col min="7" max="7" width="2.08984375" customWidth="1"/>
    <col min="8" max="8" width="24.90625" customWidth="1"/>
    <col min="9" max="9" width="6.54296875" customWidth="1"/>
    <col min="10" max="10" width="2.08984375" customWidth="1"/>
    <col min="11" max="11" width="19.26953125" customWidth="1"/>
    <col min="12" max="12" width="7.36328125" customWidth="1"/>
    <col min="13" max="13" width="7" customWidth="1"/>
    <col min="14" max="14" width="6.90625" customWidth="1"/>
    <col min="15" max="15" width="4.1796875" customWidth="1"/>
    <col min="16" max="16" width="32.1796875" customWidth="1"/>
    <col min="17" max="17" width="7.54296875" customWidth="1"/>
    <col min="18" max="18" width="4.453125" customWidth="1"/>
    <col min="19" max="19" width="33.453125" customWidth="1"/>
    <col min="20" max="20" width="7" customWidth="1"/>
    <col min="21" max="21" width="4.36328125" customWidth="1"/>
    <col min="22" max="22" width="34.1796875" customWidth="1"/>
    <col min="23" max="23" width="6.6328125" customWidth="1"/>
    <col min="24" max="24" width="35.81640625" customWidth="1"/>
    <col min="25" max="25" width="8.81640625" customWidth="1"/>
    <col min="26" max="26" width="4.1796875" customWidth="1"/>
    <col min="27" max="27" width="3.90625" customWidth="1"/>
    <col min="28" max="28" width="35.36328125" customWidth="1"/>
    <col min="30" max="31" width="9.453125" customWidth="1"/>
    <col min="32" max="32" width="8.54296875" customWidth="1"/>
    <col min="33" max="33" width="4.81640625" customWidth="1"/>
    <col min="34" max="34" width="9.54296875" customWidth="1"/>
    <col min="35" max="35" width="9.81640625" customWidth="1"/>
    <col min="36" max="36" width="45.6328125" customWidth="1"/>
    <col min="37" max="37" width="5.26953125" customWidth="1"/>
    <col min="38" max="38" width="26.6328125" customWidth="1"/>
    <col min="39" max="39" width="10.453125" customWidth="1"/>
    <col min="40" max="40" width="6.453125" customWidth="1"/>
    <col min="41" max="41" width="3.90625" customWidth="1"/>
    <col min="42" max="42" width="28" customWidth="1"/>
    <col min="53" max="53" width="6.6328125" customWidth="1"/>
    <col min="54" max="54" width="12" customWidth="1"/>
    <col min="55" max="55" width="4.1796875" customWidth="1"/>
    <col min="56" max="56" width="33" customWidth="1"/>
    <col min="57" max="57" width="22.54296875" customWidth="1"/>
    <col min="63" max="63" width="7.6328125" customWidth="1"/>
    <col min="64" max="64" width="6.54296875" customWidth="1"/>
    <col min="65" max="65" width="12.26953125" customWidth="1"/>
    <col min="66" max="66" width="9.90625" customWidth="1"/>
    <col min="67" max="67" width="10.81640625" customWidth="1"/>
    <col min="68" max="68" width="10" customWidth="1"/>
    <col min="69" max="69" width="37.6328125" customWidth="1"/>
    <col min="70" max="70" width="8.36328125" customWidth="1"/>
    <col min="71" max="71" width="8.26953125" customWidth="1"/>
    <col min="75" max="75" width="8.7265625" customWidth="1"/>
    <col min="76" max="76" width="11.6328125" customWidth="1"/>
  </cols>
  <sheetData>
    <row r="1" spans="1:75" ht="15.6" x14ac:dyDescent="0.3">
      <c r="A1" s="1" t="s">
        <v>766</v>
      </c>
      <c r="AB1" s="1" t="s">
        <v>213</v>
      </c>
      <c r="AF1" t="s">
        <v>527</v>
      </c>
      <c r="AL1" s="1" t="s">
        <v>765</v>
      </c>
      <c r="AP1" s="1" t="s">
        <v>225</v>
      </c>
      <c r="BD1" s="1" t="s">
        <v>277</v>
      </c>
    </row>
    <row r="2" spans="1:75" ht="15.6" x14ac:dyDescent="0.3">
      <c r="B2" t="s">
        <v>3</v>
      </c>
      <c r="C2" s="5">
        <v>19.916</v>
      </c>
      <c r="D2" s="3"/>
      <c r="H2" t="s">
        <v>188</v>
      </c>
      <c r="I2" s="18">
        <v>64</v>
      </c>
      <c r="P2" t="s">
        <v>708</v>
      </c>
      <c r="Q2" s="18">
        <v>7.5</v>
      </c>
      <c r="S2" t="s">
        <v>697</v>
      </c>
      <c r="T2" s="5">
        <f>17.128*48/12</f>
        <v>68.512</v>
      </c>
      <c r="AB2" s="1" t="s">
        <v>763</v>
      </c>
      <c r="AF2" t="s">
        <v>762</v>
      </c>
      <c r="AG2" s="29">
        <v>48</v>
      </c>
      <c r="AP2" s="1" t="s">
        <v>774</v>
      </c>
      <c r="BA2" t="s">
        <v>242</v>
      </c>
    </row>
    <row r="3" spans="1:75" ht="15.6" x14ac:dyDescent="0.3">
      <c r="A3" t="s">
        <v>0</v>
      </c>
      <c r="C3" s="3"/>
      <c r="D3" s="3"/>
      <c r="S3" t="s">
        <v>709</v>
      </c>
      <c r="T3" s="5">
        <f>2.5*48/12</f>
        <v>10</v>
      </c>
      <c r="X3" t="s">
        <v>3</v>
      </c>
      <c r="Y3" s="5">
        <v>19.916</v>
      </c>
      <c r="AI3" s="1" t="s">
        <v>200</v>
      </c>
      <c r="AM3" s="1" t="s">
        <v>200</v>
      </c>
      <c r="BA3" t="s">
        <v>243</v>
      </c>
      <c r="BB3" t="s">
        <v>262</v>
      </c>
      <c r="BD3" t="s">
        <v>638</v>
      </c>
      <c r="BE3" s="5">
        <v>18</v>
      </c>
      <c r="BQ3" s="1" t="s">
        <v>632</v>
      </c>
    </row>
    <row r="4" spans="1:75" ht="15.6" x14ac:dyDescent="0.3">
      <c r="B4" s="1" t="s">
        <v>1</v>
      </c>
      <c r="C4" s="3"/>
      <c r="D4" s="3"/>
      <c r="E4" s="1" t="s">
        <v>82</v>
      </c>
      <c r="H4" s="1" t="s">
        <v>154</v>
      </c>
      <c r="K4" s="1" t="s">
        <v>176</v>
      </c>
      <c r="L4" s="4" t="s">
        <v>190</v>
      </c>
      <c r="M4" s="4" t="s">
        <v>191</v>
      </c>
      <c r="N4" s="4" t="s">
        <v>189</v>
      </c>
      <c r="O4" s="4"/>
      <c r="P4" s="16" t="s">
        <v>652</v>
      </c>
      <c r="Q4" s="16"/>
      <c r="R4" s="16"/>
      <c r="S4" s="16" t="s">
        <v>685</v>
      </c>
      <c r="T4" s="17"/>
      <c r="U4" s="16"/>
      <c r="V4" s="4"/>
      <c r="W4" s="4"/>
      <c r="X4" t="s">
        <v>188</v>
      </c>
      <c r="Y4" s="3">
        <v>64</v>
      </c>
      <c r="Z4" s="4"/>
      <c r="AB4" s="1" t="s">
        <v>764</v>
      </c>
      <c r="AC4" s="4" t="s">
        <v>1</v>
      </c>
      <c r="AD4" s="4" t="s">
        <v>82</v>
      </c>
      <c r="AE4" s="4" t="s">
        <v>154</v>
      </c>
      <c r="AF4" s="4" t="s">
        <v>176</v>
      </c>
      <c r="AG4" s="1"/>
      <c r="AH4" s="1" t="s">
        <v>199</v>
      </c>
      <c r="AI4" s="1" t="str">
        <f>"1:" &amp; AG2 &amp; " scale"</f>
        <v>1:48 scale</v>
      </c>
      <c r="AJ4" s="1" t="s">
        <v>201</v>
      </c>
      <c r="AM4" s="1" t="str">
        <f>"1:" &amp; AG2 &amp; " scale"</f>
        <v>1:48 scale</v>
      </c>
      <c r="AP4" t="s">
        <v>226</v>
      </c>
      <c r="AQ4">
        <v>164</v>
      </c>
      <c r="AR4">
        <v>165</v>
      </c>
      <c r="AS4">
        <v>166</v>
      </c>
      <c r="AT4">
        <v>137</v>
      </c>
      <c r="AU4" t="s">
        <v>231</v>
      </c>
      <c r="AV4" t="s">
        <v>232</v>
      </c>
      <c r="AW4" t="s">
        <v>237</v>
      </c>
      <c r="AX4" t="s">
        <v>238</v>
      </c>
      <c r="AY4" t="s">
        <v>239</v>
      </c>
      <c r="AZ4" t="s">
        <v>240</v>
      </c>
      <c r="BA4" t="s">
        <v>241</v>
      </c>
      <c r="BD4" t="s">
        <v>648</v>
      </c>
      <c r="BE4" s="5">
        <v>16.75</v>
      </c>
      <c r="BF4" s="3"/>
      <c r="BM4" s="1" t="s">
        <v>779</v>
      </c>
      <c r="BQ4" t="s">
        <v>264</v>
      </c>
      <c r="BR4">
        <f>AVERAGE(AR22:BA22)</f>
        <v>0.8726764554504054</v>
      </c>
    </row>
    <row r="5" spans="1:75" ht="15.6" x14ac:dyDescent="0.3">
      <c r="A5" t="s">
        <v>664</v>
      </c>
      <c r="B5" t="s">
        <v>2</v>
      </c>
      <c r="C5" s="3">
        <f>C2 * 2.23</f>
        <v>44.412680000000002</v>
      </c>
      <c r="D5" s="3"/>
      <c r="E5" t="s">
        <v>94</v>
      </c>
      <c r="F5" s="3">
        <f>C2*2.343</f>
        <v>46.663187999999998</v>
      </c>
      <c r="G5" s="3"/>
      <c r="H5" t="s">
        <v>157</v>
      </c>
      <c r="I5" s="3">
        <f>I11+I8</f>
        <v>58.218451199999997</v>
      </c>
      <c r="J5" s="3"/>
      <c r="M5" s="3"/>
      <c r="P5" t="s">
        <v>665</v>
      </c>
      <c r="Q5" s="3">
        <f>Q7+Q2</f>
        <v>52.311</v>
      </c>
      <c r="R5" s="3"/>
      <c r="S5" s="3" t="s">
        <v>686</v>
      </c>
      <c r="T5" s="3">
        <f>((C2*3)+(T2/3)+Q2)*2/3</f>
        <v>60.056888888888892</v>
      </c>
      <c r="V5" t="s">
        <v>664</v>
      </c>
      <c r="X5" t="s">
        <v>204</v>
      </c>
      <c r="Y5" s="5">
        <v>62</v>
      </c>
      <c r="AB5" t="s">
        <v>664</v>
      </c>
      <c r="AC5" s="3">
        <f>Y5</f>
        <v>62</v>
      </c>
      <c r="AD5" s="3">
        <f>Y5</f>
        <v>62</v>
      </c>
      <c r="AE5" s="3">
        <f>AE10+AE7</f>
        <v>58.218451199999997</v>
      </c>
      <c r="AF5" s="3"/>
      <c r="AG5" s="3"/>
      <c r="AH5" s="30">
        <f>AC5</f>
        <v>62</v>
      </c>
      <c r="AI5" s="30">
        <f>AH5*12/AG2</f>
        <v>15.5</v>
      </c>
      <c r="AJ5" t="s">
        <v>203</v>
      </c>
      <c r="AL5" t="s">
        <v>212</v>
      </c>
      <c r="AM5" s="3">
        <f>AI5-Y8</f>
        <v>14.56</v>
      </c>
      <c r="AP5" t="s">
        <v>254</v>
      </c>
      <c r="AR5">
        <v>101</v>
      </c>
      <c r="AS5">
        <v>80</v>
      </c>
      <c r="AT5">
        <v>100</v>
      </c>
      <c r="AU5">
        <v>105.625</v>
      </c>
      <c r="AV5">
        <v>102.77</v>
      </c>
      <c r="AW5">
        <v>92.77</v>
      </c>
      <c r="AX5">
        <v>62.16</v>
      </c>
      <c r="AY5">
        <v>60.98</v>
      </c>
      <c r="AZ5">
        <v>57.24</v>
      </c>
      <c r="BA5">
        <v>54.45</v>
      </c>
      <c r="BB5" s="9">
        <f>AVERAGE(AR5:BA5)</f>
        <v>81.6995</v>
      </c>
      <c r="BD5" t="s">
        <v>637</v>
      </c>
      <c r="BE5" s="5">
        <v>4.9375</v>
      </c>
      <c r="BQ5" t="s">
        <v>263</v>
      </c>
      <c r="BR5">
        <f>AVERAGE(AR23:BA23)</f>
        <v>3.1616703988334471</v>
      </c>
    </row>
    <row r="6" spans="1:75" ht="15.6" x14ac:dyDescent="0.3">
      <c r="A6" t="s">
        <v>4</v>
      </c>
      <c r="B6" t="s">
        <v>7</v>
      </c>
      <c r="C6" s="3">
        <f>C5/3</f>
        <v>14.804226666666667</v>
      </c>
      <c r="D6" s="3"/>
      <c r="E6" t="s">
        <v>86</v>
      </c>
      <c r="F6" s="3">
        <f>(F5*0.027)*12</f>
        <v>15.118872912</v>
      </c>
      <c r="G6" s="3"/>
      <c r="I6" s="3"/>
      <c r="J6" s="3"/>
      <c r="M6" s="3"/>
      <c r="P6" t="s">
        <v>663</v>
      </c>
      <c r="Q6" s="3">
        <f>C2*3/4</f>
        <v>14.937000000000001</v>
      </c>
      <c r="R6" s="3"/>
      <c r="S6" s="3" t="s">
        <v>691</v>
      </c>
      <c r="T6" s="3">
        <f>T5/4</f>
        <v>15.014222222222223</v>
      </c>
      <c r="V6" t="s">
        <v>4</v>
      </c>
      <c r="X6" t="s">
        <v>193</v>
      </c>
      <c r="Y6" s="3">
        <v>20.64</v>
      </c>
      <c r="AB6" t="s">
        <v>4</v>
      </c>
      <c r="AC6" s="3">
        <f>AC5/3</f>
        <v>20.666666666666668</v>
      </c>
      <c r="AD6" s="3">
        <f>(AD5*0.027)*12</f>
        <v>20.088000000000001</v>
      </c>
      <c r="AE6" s="3"/>
      <c r="AF6" s="3"/>
      <c r="AG6" s="3"/>
      <c r="AH6" s="30">
        <f>AH5/3*4/5</f>
        <v>16.533333333333335</v>
      </c>
      <c r="AI6" s="30">
        <f>AH6/AG2</f>
        <v>0.3444444444444445</v>
      </c>
      <c r="AJ6" t="s">
        <v>202</v>
      </c>
      <c r="AP6" t="s">
        <v>255</v>
      </c>
      <c r="AR6">
        <v>24.67</v>
      </c>
      <c r="AS6">
        <v>23.17</v>
      </c>
      <c r="AT6">
        <v>26</v>
      </c>
      <c r="AU6">
        <v>26.41</v>
      </c>
      <c r="AV6">
        <v>25.98</v>
      </c>
      <c r="AW6">
        <v>24.01</v>
      </c>
      <c r="AX6">
        <v>18.010000000000002</v>
      </c>
      <c r="AY6">
        <v>16.989999999999998</v>
      </c>
      <c r="AZ6">
        <v>18.21</v>
      </c>
      <c r="BA6">
        <v>16.93</v>
      </c>
      <c r="BB6" s="9">
        <f>AVERAGE(AR6:BA6)</f>
        <v>22.038000000000004</v>
      </c>
      <c r="BE6" s="1"/>
      <c r="BF6" s="1"/>
      <c r="BG6" s="1"/>
      <c r="BH6" s="4" t="s">
        <v>292</v>
      </c>
      <c r="BM6" s="43" t="s">
        <v>777</v>
      </c>
      <c r="BQ6" t="s">
        <v>269</v>
      </c>
      <c r="BR6">
        <f>AVERAGE(AQ10:BA10)</f>
        <v>2.0480099890195842E-2</v>
      </c>
    </row>
    <row r="7" spans="1:75" ht="15.6" x14ac:dyDescent="0.3">
      <c r="A7" t="s">
        <v>653</v>
      </c>
      <c r="C7" s="3"/>
      <c r="D7" s="3"/>
      <c r="F7" s="3"/>
      <c r="G7" s="3"/>
      <c r="I7" s="3"/>
      <c r="J7" s="3"/>
      <c r="M7" s="3"/>
      <c r="P7" t="s">
        <v>654</v>
      </c>
      <c r="Q7" s="3">
        <f>C2*2.25</f>
        <v>44.811</v>
      </c>
      <c r="R7" s="3"/>
      <c r="S7" s="3" t="s">
        <v>687</v>
      </c>
      <c r="T7" s="3">
        <f>((C2*3)+(T2/3)+Q2)*0.55</f>
        <v>49.546933333333342</v>
      </c>
      <c r="V7" t="s">
        <v>653</v>
      </c>
      <c r="X7" t="s">
        <v>207</v>
      </c>
      <c r="Y7" s="6">
        <v>0.93</v>
      </c>
      <c r="AB7" t="s">
        <v>6</v>
      </c>
      <c r="AC7" s="3">
        <f>(AC5/3*5)/12</f>
        <v>8.6111111111111125</v>
      </c>
      <c r="AD7" s="3">
        <f>AD5*0.15</f>
        <v>9.2999999999999989</v>
      </c>
      <c r="AE7" s="3">
        <f>AE10*0.12</f>
        <v>6.2376911999999995</v>
      </c>
      <c r="AF7" s="3"/>
      <c r="AG7" s="3"/>
      <c r="AH7" s="30">
        <v>6</v>
      </c>
      <c r="AI7" s="30">
        <f>AH7*12/AG2</f>
        <v>1.5</v>
      </c>
      <c r="AJ7" t="s">
        <v>203</v>
      </c>
      <c r="BD7" s="1" t="s">
        <v>649</v>
      </c>
      <c r="BE7" s="4" t="s">
        <v>273</v>
      </c>
      <c r="BF7" s="4" t="s">
        <v>274</v>
      </c>
      <c r="BG7" s="4" t="s">
        <v>272</v>
      </c>
      <c r="BH7" s="4" t="s">
        <v>527</v>
      </c>
      <c r="BM7" s="43" t="s">
        <v>778</v>
      </c>
      <c r="BQ7" t="s">
        <v>265</v>
      </c>
      <c r="BR7">
        <f>AVERAGE(AR24:BA24)</f>
        <v>0.84106443570510836</v>
      </c>
    </row>
    <row r="8" spans="1:75" ht="15.6" x14ac:dyDescent="0.3">
      <c r="A8" t="s">
        <v>6</v>
      </c>
      <c r="B8" t="s">
        <v>104</v>
      </c>
      <c r="C8" s="3">
        <f>(C5/3*5)/12</f>
        <v>6.1684277777777785</v>
      </c>
      <c r="D8" s="3"/>
      <c r="E8" t="s">
        <v>102</v>
      </c>
      <c r="F8" s="3">
        <f>F5*0.15</f>
        <v>6.9994781999999995</v>
      </c>
      <c r="G8" s="3"/>
      <c r="H8" t="s">
        <v>156</v>
      </c>
      <c r="I8" s="3">
        <f>I11*0.12</f>
        <v>6.2376911999999995</v>
      </c>
      <c r="J8" s="3"/>
      <c r="M8" s="3"/>
      <c r="P8" t="s">
        <v>655</v>
      </c>
      <c r="Q8" s="3">
        <f>Q7/6</f>
        <v>7.4684999999999997</v>
      </c>
      <c r="R8" s="3"/>
      <c r="S8" s="3" t="s">
        <v>689</v>
      </c>
      <c r="T8" s="3">
        <f>T5*2/13</f>
        <v>9.2395213675213679</v>
      </c>
      <c r="V8" t="s">
        <v>6</v>
      </c>
      <c r="X8" t="s">
        <v>215</v>
      </c>
      <c r="Y8" s="6">
        <v>0.94</v>
      </c>
      <c r="AB8" t="s">
        <v>99</v>
      </c>
      <c r="AC8" s="3">
        <f>AC6*0.75</f>
        <v>15.5</v>
      </c>
      <c r="AD8" s="3">
        <f>AD6*0.7</f>
        <v>14.0616</v>
      </c>
      <c r="AE8" s="3"/>
      <c r="AF8" s="3"/>
      <c r="AG8" s="3"/>
      <c r="AH8" s="30">
        <f>AH6*0.75</f>
        <v>12.400000000000002</v>
      </c>
      <c r="AI8" s="30">
        <f>AH8/AG2</f>
        <v>0.25833333333333336</v>
      </c>
      <c r="AP8" t="s">
        <v>228</v>
      </c>
      <c r="AQ8">
        <v>78.75</v>
      </c>
      <c r="AR8">
        <v>83</v>
      </c>
      <c r="AS8">
        <v>73.67</v>
      </c>
      <c r="AT8">
        <v>60</v>
      </c>
      <c r="AU8">
        <v>83.98</v>
      </c>
      <c r="AV8">
        <v>83.98</v>
      </c>
      <c r="AW8">
        <v>72.17</v>
      </c>
      <c r="AX8">
        <v>58.39</v>
      </c>
      <c r="AY8">
        <v>58.39</v>
      </c>
      <c r="AZ8">
        <v>60.03</v>
      </c>
      <c r="BA8">
        <v>57.08</v>
      </c>
      <c r="BB8" s="9">
        <f>AVERAGE(AQ8:BA8)</f>
        <v>69.949090909090913</v>
      </c>
      <c r="BD8" t="s">
        <v>639</v>
      </c>
      <c r="BE8" s="3">
        <f>BE3*BR4</f>
        <v>15.708176198107298</v>
      </c>
      <c r="BF8" s="3">
        <f>BE4*BR4</f>
        <v>14.61733062879429</v>
      </c>
      <c r="BG8" s="3">
        <f>BE5*BR5</f>
        <v>15.610747594240145</v>
      </c>
      <c r="BH8" s="11">
        <v>15.5</v>
      </c>
      <c r="BQ8" t="s">
        <v>266</v>
      </c>
      <c r="BR8">
        <f>AVERAGE(AR25:BA25)</f>
        <v>3.0485598740001105</v>
      </c>
    </row>
    <row r="9" spans="1:75" ht="15.6" x14ac:dyDescent="0.3">
      <c r="A9" t="s">
        <v>99</v>
      </c>
      <c r="B9" t="s">
        <v>106</v>
      </c>
      <c r="C9" s="3">
        <f>C6*0.75</f>
        <v>11.10317</v>
      </c>
      <c r="D9" s="3"/>
      <c r="E9" t="s">
        <v>103</v>
      </c>
      <c r="F9" s="3">
        <f>F6*0.7</f>
        <v>10.5832110384</v>
      </c>
      <c r="G9" s="3"/>
      <c r="I9" s="3"/>
      <c r="J9" s="3"/>
      <c r="M9" s="3"/>
      <c r="P9" t="s">
        <v>658</v>
      </c>
      <c r="Q9">
        <f>C2*0.5</f>
        <v>9.9580000000000002</v>
      </c>
      <c r="S9" s="3"/>
      <c r="T9" s="3"/>
      <c r="V9" t="s">
        <v>99</v>
      </c>
      <c r="X9" t="s">
        <v>206</v>
      </c>
      <c r="Y9" s="3">
        <f>Y5-(Y7*48/12)</f>
        <v>58.28</v>
      </c>
      <c r="AB9" t="s">
        <v>91</v>
      </c>
      <c r="AC9" s="3">
        <f>(AC7/3)*2</f>
        <v>5.7407407407407414</v>
      </c>
      <c r="AD9" s="3"/>
      <c r="AE9" s="3"/>
      <c r="AF9" s="3"/>
      <c r="AG9" s="3"/>
      <c r="AH9" s="30">
        <f>(AH7/3)*2</f>
        <v>4</v>
      </c>
      <c r="AI9" s="30">
        <f>AH9*12/AG2</f>
        <v>1</v>
      </c>
      <c r="AP9" t="s">
        <v>224</v>
      </c>
      <c r="AQ9">
        <v>13.5</v>
      </c>
      <c r="AR9">
        <v>24</v>
      </c>
      <c r="AS9">
        <v>17.75</v>
      </c>
      <c r="AT9">
        <v>19.5</v>
      </c>
      <c r="AU9">
        <v>20.74</v>
      </c>
      <c r="AV9">
        <v>20.72</v>
      </c>
      <c r="AW9">
        <v>16.940000000000001</v>
      </c>
      <c r="AX9">
        <v>14.16</v>
      </c>
      <c r="AY9">
        <v>13.375</v>
      </c>
      <c r="AZ9">
        <v>14.56</v>
      </c>
      <c r="BA9">
        <v>13.375</v>
      </c>
      <c r="BB9" s="9">
        <f t="shared" ref="BB9" si="0">AVERAGE(AQ9:BA9)</f>
        <v>17.147272727272728</v>
      </c>
      <c r="BD9" t="s">
        <v>641</v>
      </c>
      <c r="BE9" s="3">
        <f>BE8*BR6</f>
        <v>0.32170501763003423</v>
      </c>
      <c r="BF9" s="3">
        <f>BF8*BR6</f>
        <v>0.29936439140572629</v>
      </c>
      <c r="BG9" s="3">
        <f>BG8*BR6</f>
        <v>0.31970967009067258</v>
      </c>
      <c r="BH9" s="11">
        <v>0.32</v>
      </c>
      <c r="BM9" s="9" t="s">
        <v>776</v>
      </c>
      <c r="BQ9" t="s">
        <v>270</v>
      </c>
      <c r="BR9">
        <f>AVERAGE(AQ14:BA14)</f>
        <v>2.2968557810451914E-2</v>
      </c>
    </row>
    <row r="10" spans="1:75" ht="15.6" x14ac:dyDescent="0.3">
      <c r="A10" t="s">
        <v>91</v>
      </c>
      <c r="B10" t="s">
        <v>8</v>
      </c>
      <c r="C10" s="3">
        <f>(C8/3)*2</f>
        <v>4.1122851851851854</v>
      </c>
      <c r="D10" s="3"/>
      <c r="F10" s="3"/>
      <c r="G10" s="3"/>
      <c r="I10" s="3"/>
      <c r="J10" s="3"/>
      <c r="M10" s="3"/>
      <c r="P10" t="s">
        <v>712</v>
      </c>
      <c r="Q10" s="3">
        <f>Q7-Q8</f>
        <v>37.342500000000001</v>
      </c>
      <c r="R10" s="3"/>
      <c r="S10" t="s">
        <v>712</v>
      </c>
      <c r="T10" s="3">
        <f>T7-T8</f>
        <v>40.307411965811973</v>
      </c>
      <c r="V10" t="s">
        <v>91</v>
      </c>
      <c r="W10" s="3"/>
      <c r="X10" t="s">
        <v>195</v>
      </c>
      <c r="Y10" s="3">
        <v>30</v>
      </c>
      <c r="Z10" s="3"/>
      <c r="AB10" t="s">
        <v>218</v>
      </c>
      <c r="AC10" s="3"/>
      <c r="AD10" s="3"/>
      <c r="AE10" s="3">
        <f>Y3*2.61</f>
        <v>51.980759999999997</v>
      </c>
      <c r="AF10" s="3">
        <f>Y3*(2.6+2.8)/2</f>
        <v>53.773200000000003</v>
      </c>
      <c r="AG10" s="3"/>
      <c r="AH10" s="30">
        <f>AH5-AH7</f>
        <v>56</v>
      </c>
      <c r="AI10" s="30">
        <f>AH10*12/AG2</f>
        <v>14</v>
      </c>
      <c r="AP10" t="s">
        <v>222</v>
      </c>
      <c r="AQ10" s="9">
        <f t="shared" ref="AQ10:BA10" si="1">AQ9/(AQ8*12)</f>
        <v>1.4285714285714285E-2</v>
      </c>
      <c r="AR10" s="9">
        <f t="shared" si="1"/>
        <v>2.4096385542168676E-2</v>
      </c>
      <c r="AS10" s="9">
        <f t="shared" si="1"/>
        <v>2.0078277001040677E-2</v>
      </c>
      <c r="AT10" s="9">
        <f t="shared" si="1"/>
        <v>2.7083333333333334E-2</v>
      </c>
      <c r="AU10" s="9">
        <f t="shared" si="1"/>
        <v>2.058029689608637E-2</v>
      </c>
      <c r="AV10" s="9">
        <f t="shared" si="1"/>
        <v>2.0560450901008175E-2</v>
      </c>
      <c r="AW10" s="9">
        <f t="shared" si="1"/>
        <v>1.9560297445845459E-2</v>
      </c>
      <c r="AX10" s="9">
        <f t="shared" si="1"/>
        <v>2.0208939886966946E-2</v>
      </c>
      <c r="AY10" s="9">
        <f t="shared" si="1"/>
        <v>1.9088599646058114E-2</v>
      </c>
      <c r="AZ10" s="9">
        <f t="shared" si="1"/>
        <v>2.0212116164140152E-2</v>
      </c>
      <c r="BA10" s="9">
        <f t="shared" si="1"/>
        <v>1.9526687689792103E-2</v>
      </c>
      <c r="BD10" t="s">
        <v>640</v>
      </c>
      <c r="BE10" s="3">
        <f>BE3*BR7</f>
        <v>15.139159842691951</v>
      </c>
      <c r="BF10" s="3">
        <f>BE4*BR7</f>
        <v>14.087829298060566</v>
      </c>
      <c r="BG10" s="3">
        <f>BE5*BR8</f>
        <v>15.052264377875545</v>
      </c>
      <c r="BH10" s="11">
        <v>15</v>
      </c>
      <c r="BQ10" t="s">
        <v>267</v>
      </c>
      <c r="BR10">
        <f>(AS26+AT26)/2</f>
        <v>0.35187499999999999</v>
      </c>
    </row>
    <row r="11" spans="1:75" ht="15.6" x14ac:dyDescent="0.3">
      <c r="A11" t="s">
        <v>164</v>
      </c>
      <c r="C11" s="3"/>
      <c r="D11" s="3"/>
      <c r="F11" s="3"/>
      <c r="G11" s="3"/>
      <c r="H11" t="s">
        <v>155</v>
      </c>
      <c r="I11" s="3">
        <f>C2*2.61</f>
        <v>51.980759999999997</v>
      </c>
      <c r="J11" s="3"/>
      <c r="K11" t="s">
        <v>179</v>
      </c>
      <c r="L11" s="3">
        <f>C2*2.6</f>
        <v>51.781600000000005</v>
      </c>
      <c r="M11" s="3">
        <f>C2*(2.6+2.8)/2</f>
        <v>53.773200000000003</v>
      </c>
      <c r="N11" s="3">
        <f>C2*2.8</f>
        <v>55.764800000000001</v>
      </c>
      <c r="O11" s="3"/>
      <c r="P11" s="3"/>
      <c r="Q11" s="3"/>
      <c r="R11" s="3"/>
      <c r="S11" s="3" t="s">
        <v>711</v>
      </c>
      <c r="T11" s="3">
        <f>T5-T8</f>
        <v>50.817367521367522</v>
      </c>
      <c r="U11" s="3"/>
      <c r="V11" t="s">
        <v>164</v>
      </c>
      <c r="W11" s="3"/>
      <c r="X11" t="s">
        <v>196</v>
      </c>
      <c r="Y11" s="3">
        <v>10</v>
      </c>
      <c r="Z11" s="3"/>
      <c r="AB11" t="s">
        <v>90</v>
      </c>
      <c r="AC11" s="3"/>
      <c r="AD11" s="3"/>
      <c r="AE11" s="3"/>
      <c r="AF11" s="3"/>
      <c r="AG11" s="3"/>
      <c r="AH11" s="30">
        <f>Y9-AH7-(Y7*48/12)</f>
        <v>48.56</v>
      </c>
      <c r="AI11" s="30">
        <f>AH11*12/AG2</f>
        <v>12.14</v>
      </c>
      <c r="BD11" t="s">
        <v>642</v>
      </c>
      <c r="BE11" s="3">
        <f>BE10*BR9</f>
        <v>0.34772466804854218</v>
      </c>
      <c r="BF11" s="3">
        <f>BF10*BR9</f>
        <v>0.32357712165628233</v>
      </c>
      <c r="BG11" s="3">
        <f>BG10*BR9</f>
        <v>0.3457288045414405</v>
      </c>
      <c r="BH11" s="11">
        <v>0.35</v>
      </c>
      <c r="BM11" s="1" t="s">
        <v>770</v>
      </c>
      <c r="BQ11" t="s">
        <v>268</v>
      </c>
      <c r="BR11">
        <f>(AS27+AT27)/2</f>
        <v>1.2759121543109457</v>
      </c>
    </row>
    <row r="12" spans="1:75" ht="15.6" x14ac:dyDescent="0.3">
      <c r="A12" t="s">
        <v>90</v>
      </c>
      <c r="C12" s="3"/>
      <c r="D12" s="3"/>
      <c r="F12" s="3"/>
      <c r="G12" s="3"/>
      <c r="I12" s="3"/>
      <c r="J12" s="3"/>
      <c r="L12" s="3"/>
      <c r="M12" s="3"/>
      <c r="N12" s="3"/>
      <c r="O12" s="3"/>
      <c r="P12" s="3"/>
      <c r="Q12" s="3"/>
      <c r="R12" s="3"/>
      <c r="S12" s="3" t="s">
        <v>712</v>
      </c>
      <c r="T12" s="3">
        <f>T7-T8</f>
        <v>40.307411965811973</v>
      </c>
      <c r="U12" s="3"/>
      <c r="V12" t="s">
        <v>90</v>
      </c>
      <c r="W12" s="3"/>
      <c r="X12" t="s">
        <v>205</v>
      </c>
      <c r="Y12" s="5">
        <v>60</v>
      </c>
      <c r="Z12" s="3"/>
      <c r="AB12" t="s">
        <v>89</v>
      </c>
      <c r="AC12" s="3">
        <f>AC5*0.6</f>
        <v>37.199999999999996</v>
      </c>
      <c r="AD12" s="3">
        <f>Y3*1.362</f>
        <v>27.125592000000001</v>
      </c>
      <c r="AE12" s="3">
        <f>AE14+AE14*0.5</f>
        <v>24.79542</v>
      </c>
      <c r="AF12" s="3"/>
      <c r="AG12" s="3"/>
      <c r="AH12" s="30">
        <f>Y10</f>
        <v>30</v>
      </c>
      <c r="AI12" s="30">
        <f>AH12*12/AG2</f>
        <v>7.5</v>
      </c>
      <c r="AJ12" t="s">
        <v>203</v>
      </c>
      <c r="AP12" t="s">
        <v>229</v>
      </c>
      <c r="AQ12">
        <v>75.75</v>
      </c>
      <c r="AR12">
        <v>80</v>
      </c>
      <c r="AS12">
        <v>67.67</v>
      </c>
      <c r="AT12">
        <v>58.42</v>
      </c>
      <c r="AU12">
        <v>82.09</v>
      </c>
      <c r="AV12">
        <v>82.09</v>
      </c>
      <c r="AW12">
        <v>69.875</v>
      </c>
      <c r="AX12">
        <v>56.42</v>
      </c>
      <c r="AY12">
        <v>56.42</v>
      </c>
      <c r="AZ12">
        <v>58.06</v>
      </c>
      <c r="BA12">
        <v>55.11</v>
      </c>
      <c r="BB12" s="9">
        <f>AVERAGE(AQ12:BA12)</f>
        <v>67.445909090909097</v>
      </c>
      <c r="BD12" t="s">
        <v>236</v>
      </c>
      <c r="BE12" s="3">
        <f>BE3*BR10</f>
        <v>6.3337500000000002</v>
      </c>
      <c r="BF12" s="3">
        <f>BE4*BR10</f>
        <v>5.8939062499999997</v>
      </c>
      <c r="BG12" s="3">
        <f>BE5*BR11</f>
        <v>6.2998162619102942</v>
      </c>
      <c r="BH12" s="11">
        <v>6.3</v>
      </c>
      <c r="BM12" s="18" t="s">
        <v>771</v>
      </c>
      <c r="BQ12" t="s">
        <v>271</v>
      </c>
      <c r="BR12">
        <f>AQ50</f>
        <v>5.1028430570514371E-2</v>
      </c>
    </row>
    <row r="13" spans="1:75" ht="15.6" x14ac:dyDescent="0.3">
      <c r="A13" t="s">
        <v>656</v>
      </c>
      <c r="C13" s="3"/>
      <c r="D13" s="3"/>
      <c r="F13" s="3"/>
      <c r="G13" s="3"/>
      <c r="I13" s="3"/>
      <c r="J13" s="3"/>
      <c r="L13" s="3"/>
      <c r="M13" s="3"/>
      <c r="N13" s="3"/>
      <c r="O13" s="3"/>
      <c r="P13" s="3" t="s">
        <v>657</v>
      </c>
      <c r="Q13" s="3">
        <f>Q6*0.875</f>
        <v>13.069875000000001</v>
      </c>
      <c r="R13" s="3"/>
      <c r="S13" s="3" t="s">
        <v>710</v>
      </c>
      <c r="T13" s="3">
        <f>T6*2/3</f>
        <v>10.009481481481481</v>
      </c>
      <c r="U13" s="3"/>
      <c r="V13" t="s">
        <v>656</v>
      </c>
      <c r="W13" s="3"/>
      <c r="X13" t="s">
        <v>194</v>
      </c>
      <c r="Y13" s="3">
        <v>19.68</v>
      </c>
      <c r="Z13" s="3"/>
      <c r="AB13" t="s">
        <v>12</v>
      </c>
      <c r="AC13" s="3">
        <f>AC12/3</f>
        <v>12.399999999999999</v>
      </c>
      <c r="AD13" s="3">
        <f>(AD12*0.027)*12</f>
        <v>8.7886918079999994</v>
      </c>
      <c r="AE13" s="3"/>
      <c r="AF13" s="3"/>
      <c r="AG13" s="3"/>
      <c r="AH13" s="30">
        <f>AH12/3*4/5</f>
        <v>8</v>
      </c>
      <c r="AI13" s="30">
        <f>AH13/AG2</f>
        <v>0.16666666666666666</v>
      </c>
      <c r="AP13" t="s">
        <v>223</v>
      </c>
      <c r="AQ13">
        <v>21.25</v>
      </c>
      <c r="AR13">
        <v>24</v>
      </c>
      <c r="AS13">
        <v>18.875</v>
      </c>
      <c r="AT13">
        <v>19.5</v>
      </c>
      <c r="AU13">
        <v>22.84</v>
      </c>
      <c r="AV13">
        <v>21.66</v>
      </c>
      <c r="AW13">
        <v>18.125</v>
      </c>
      <c r="AX13">
        <v>14.94</v>
      </c>
      <c r="AY13">
        <v>14.56</v>
      </c>
      <c r="AZ13">
        <v>14.94</v>
      </c>
      <c r="BA13">
        <v>14.16</v>
      </c>
      <c r="BB13" s="9">
        <f t="shared" ref="BB13" si="2">AVERAGE(AQ13:BA13)</f>
        <v>18.622727272727271</v>
      </c>
      <c r="BD13" t="s">
        <v>643</v>
      </c>
      <c r="BE13" s="3">
        <f>BE12*BR12</f>
        <v>0.32320132212599539</v>
      </c>
      <c r="BF13" s="3">
        <f>BF12*BR12</f>
        <v>0.30075678586724569</v>
      </c>
      <c r="BG13" s="3">
        <f>BG12*BR12</f>
        <v>0.32146973672788681</v>
      </c>
      <c r="BH13" s="34">
        <f>BH12*BR12</f>
        <v>0.32147911259424056</v>
      </c>
      <c r="BM13" s="37" t="s">
        <v>772</v>
      </c>
      <c r="BS13" s="1" t="s">
        <v>732</v>
      </c>
      <c r="BT13" s="14" t="s">
        <v>635</v>
      </c>
    </row>
    <row r="14" spans="1:75" ht="15.6" x14ac:dyDescent="0.3">
      <c r="A14" t="s">
        <v>89</v>
      </c>
      <c r="B14" t="s">
        <v>11</v>
      </c>
      <c r="C14" s="3">
        <f>C5*0.6</f>
        <v>26.647608000000002</v>
      </c>
      <c r="D14" s="3"/>
      <c r="E14" t="s">
        <v>95</v>
      </c>
      <c r="F14" s="3">
        <f>C2*1.362</f>
        <v>27.125592000000001</v>
      </c>
      <c r="G14" s="3"/>
      <c r="H14" t="s">
        <v>166</v>
      </c>
      <c r="I14" s="3">
        <f>I17+I17*0.5</f>
        <v>24.79542</v>
      </c>
      <c r="J14" s="3"/>
      <c r="L14" s="3"/>
      <c r="M14" s="3"/>
      <c r="N14" s="3"/>
      <c r="O14" s="3"/>
      <c r="P14" s="3" t="s">
        <v>660</v>
      </c>
      <c r="Q14" s="3">
        <f>C2*1.5</f>
        <v>29.874000000000002</v>
      </c>
      <c r="R14" s="3"/>
      <c r="S14" s="3" t="s">
        <v>693</v>
      </c>
      <c r="T14" s="3">
        <f>T18/2</f>
        <v>28.442499999999999</v>
      </c>
      <c r="U14" s="3"/>
      <c r="V14" t="s">
        <v>89</v>
      </c>
      <c r="W14" s="3"/>
      <c r="X14" t="s">
        <v>210</v>
      </c>
      <c r="Y14" s="6">
        <v>1.17</v>
      </c>
      <c r="Z14" s="3"/>
      <c r="AB14" t="s">
        <v>163</v>
      </c>
      <c r="AC14" s="3"/>
      <c r="AD14" s="3"/>
      <c r="AE14" s="3">
        <f>Y3*0.83</f>
        <v>16.530280000000001</v>
      </c>
      <c r="AF14" s="3">
        <f>Y3*(0.83+1)/2</f>
        <v>18.223140000000001</v>
      </c>
      <c r="AG14" s="3"/>
      <c r="AH14" s="30">
        <f>Y10-AH7</f>
        <v>24</v>
      </c>
      <c r="AI14" s="30">
        <f>AH14*12/AG2</f>
        <v>6</v>
      </c>
      <c r="AP14" t="s">
        <v>222</v>
      </c>
      <c r="AQ14" s="9">
        <f t="shared" ref="AQ14:BA14" si="3">AQ13/(AQ12*12)</f>
        <v>2.3377337733773377E-2</v>
      </c>
      <c r="AR14" s="9">
        <f t="shared" si="3"/>
        <v>2.5000000000000001E-2</v>
      </c>
      <c r="AS14" s="9">
        <f t="shared" si="3"/>
        <v>2.3243928870498993E-2</v>
      </c>
      <c r="AT14" s="9">
        <f t="shared" si="3"/>
        <v>2.7815816501198222E-2</v>
      </c>
      <c r="AU14" s="9">
        <f t="shared" si="3"/>
        <v>2.3185934137328945E-2</v>
      </c>
      <c r="AV14" s="9">
        <f t="shared" si="3"/>
        <v>2.1988061883298819E-2</v>
      </c>
      <c r="AW14" s="9">
        <f t="shared" si="3"/>
        <v>2.16159809183065E-2</v>
      </c>
      <c r="AX14" s="9">
        <f t="shared" si="3"/>
        <v>2.2066643034384971E-2</v>
      </c>
      <c r="AY14" s="9">
        <f t="shared" si="3"/>
        <v>2.1505376344086023E-2</v>
      </c>
      <c r="AZ14" s="9">
        <f t="shared" si="3"/>
        <v>2.1443334481570788E-2</v>
      </c>
      <c r="BA14" s="9">
        <f t="shared" si="3"/>
        <v>2.1411722010524409E-2</v>
      </c>
      <c r="BD14" t="s">
        <v>644</v>
      </c>
      <c r="BE14" s="3"/>
      <c r="BF14" s="3"/>
      <c r="BG14" s="3">
        <f>BE5+(BE5*0.12)</f>
        <v>5.53</v>
      </c>
      <c r="BH14" s="11">
        <v>7.5</v>
      </c>
      <c r="BM14" s="8" t="s">
        <v>773</v>
      </c>
      <c r="BR14" s="15"/>
      <c r="BS14" s="14" t="s">
        <v>296</v>
      </c>
      <c r="BT14" s="14" t="s">
        <v>296</v>
      </c>
      <c r="BU14" s="14" t="s">
        <v>732</v>
      </c>
      <c r="BV14" s="4" t="s">
        <v>633</v>
      </c>
      <c r="BW14" s="4" t="s">
        <v>635</v>
      </c>
    </row>
    <row r="15" spans="1:75" ht="15.6" x14ac:dyDescent="0.3">
      <c r="A15" t="s">
        <v>659</v>
      </c>
      <c r="C15" s="3"/>
      <c r="D15" s="3"/>
      <c r="F15" s="3"/>
      <c r="G15" s="3"/>
      <c r="I15" s="3"/>
      <c r="J15" s="3"/>
      <c r="L15" s="3"/>
      <c r="M15" s="3"/>
      <c r="N15" s="3"/>
      <c r="O15" s="3"/>
      <c r="P15" s="3" t="s">
        <v>661</v>
      </c>
      <c r="Q15" s="3"/>
      <c r="R15" s="3"/>
      <c r="S15" s="3" t="s">
        <v>695</v>
      </c>
      <c r="T15" s="3">
        <f>T14/6</f>
        <v>4.7404166666666665</v>
      </c>
      <c r="U15" s="3"/>
      <c r="V15" t="s">
        <v>659</v>
      </c>
      <c r="W15" s="3"/>
      <c r="X15" t="s">
        <v>216</v>
      </c>
      <c r="Y15" s="6">
        <v>0.71</v>
      </c>
      <c r="Z15" s="3"/>
      <c r="AB15" t="s">
        <v>33</v>
      </c>
      <c r="AC15" s="3">
        <f>Y12</f>
        <v>60</v>
      </c>
      <c r="AD15" s="3">
        <f>Y3*2.11</f>
        <v>42.022759999999998</v>
      </c>
      <c r="AE15" s="3">
        <f>AE19+AE17</f>
        <v>53.560975103999994</v>
      </c>
      <c r="AF15" s="3"/>
      <c r="AG15" s="3"/>
      <c r="AH15" s="30">
        <f>AC15</f>
        <v>60</v>
      </c>
      <c r="AI15" s="30">
        <f>AH15*12/AG2</f>
        <v>15</v>
      </c>
      <c r="AJ15" t="s">
        <v>203</v>
      </c>
      <c r="AL15" t="s">
        <v>214</v>
      </c>
      <c r="AM15" s="3">
        <f>AI15-Y15</f>
        <v>14.29</v>
      </c>
      <c r="BD15" t="s">
        <v>645</v>
      </c>
      <c r="BE15" s="3"/>
      <c r="BF15" s="3"/>
      <c r="BG15" s="3">
        <f>BG14*0.027</f>
        <v>0.14931</v>
      </c>
      <c r="BH15" s="34">
        <f>BH14*0.027</f>
        <v>0.20249999999999999</v>
      </c>
      <c r="BQ15" s="1" t="s">
        <v>302</v>
      </c>
      <c r="BR15" s="14" t="s">
        <v>200</v>
      </c>
      <c r="BS15" s="14" t="s">
        <v>200</v>
      </c>
      <c r="BT15" s="1" t="s">
        <v>759</v>
      </c>
      <c r="BU15" s="14" t="s">
        <v>636</v>
      </c>
      <c r="BV15" s="4" t="s">
        <v>634</v>
      </c>
      <c r="BW15" s="4" t="s">
        <v>633</v>
      </c>
    </row>
    <row r="16" spans="1:75" ht="15.6" x14ac:dyDescent="0.3">
      <c r="A16" t="s">
        <v>12</v>
      </c>
      <c r="B16" t="s">
        <v>5</v>
      </c>
      <c r="C16" s="3">
        <f>C14/3</f>
        <v>8.882536</v>
      </c>
      <c r="D16" s="3"/>
      <c r="E16" t="s">
        <v>86</v>
      </c>
      <c r="F16" s="3">
        <f>(F14*0.027)*12</f>
        <v>8.7886918079999994</v>
      </c>
      <c r="G16" s="3"/>
      <c r="I16" s="3"/>
      <c r="J16" s="3"/>
      <c r="L16" s="3"/>
      <c r="M16" s="3"/>
      <c r="N16" s="3"/>
      <c r="O16" s="3"/>
      <c r="P16" s="3" t="s">
        <v>662</v>
      </c>
      <c r="Q16" s="3">
        <f>C2*7/15</f>
        <v>9.2941333333333329</v>
      </c>
      <c r="R16" s="3"/>
      <c r="S16" s="3" t="s">
        <v>696</v>
      </c>
      <c r="T16" s="3">
        <f>T14/4</f>
        <v>7.1106249999999998</v>
      </c>
      <c r="U16" s="3"/>
      <c r="V16" t="s">
        <v>12</v>
      </c>
      <c r="W16" s="3"/>
      <c r="X16" t="s">
        <v>211</v>
      </c>
      <c r="Y16" s="3">
        <f>Y12-(Y14*48/12)</f>
        <v>55.32</v>
      </c>
      <c r="Z16" s="3"/>
      <c r="AB16" t="s">
        <v>10</v>
      </c>
      <c r="AC16" s="3">
        <f>AC15/3</f>
        <v>20</v>
      </c>
      <c r="AD16" s="3">
        <f>(AD15*0.027)*12</f>
        <v>13.61537424</v>
      </c>
      <c r="AE16" s="3"/>
      <c r="AF16" s="3"/>
      <c r="AG16" s="3"/>
      <c r="AH16" s="30">
        <f>AH15/3*4/5</f>
        <v>16</v>
      </c>
      <c r="AI16" s="30">
        <f>AH16/AG2</f>
        <v>0.33333333333333331</v>
      </c>
      <c r="AJ16" t="s">
        <v>202</v>
      </c>
      <c r="AP16" t="s">
        <v>230</v>
      </c>
      <c r="AQ16">
        <v>29</v>
      </c>
      <c r="AS16">
        <v>31.5</v>
      </c>
      <c r="AT16">
        <v>31</v>
      </c>
      <c r="AY16">
        <v>14.1</v>
      </c>
      <c r="BA16">
        <v>11.15</v>
      </c>
      <c r="BD16" t="s">
        <v>646</v>
      </c>
      <c r="BE16" s="3"/>
      <c r="BF16" s="3"/>
      <c r="BG16" s="3"/>
      <c r="BH16" s="11">
        <v>7.5</v>
      </c>
      <c r="BQ16" t="s">
        <v>303</v>
      </c>
      <c r="BR16" s="24">
        <v>8.0000000000000002E-3</v>
      </c>
      <c r="BS16" s="15">
        <f>20*12</f>
        <v>240</v>
      </c>
      <c r="BT16" s="38">
        <v>0</v>
      </c>
      <c r="BU16" s="40">
        <f>ROUNDUP(BT16/BS16,0)</f>
        <v>0</v>
      </c>
      <c r="BV16" s="13">
        <v>5.75</v>
      </c>
      <c r="BW16" s="39">
        <f>BU16*BV16</f>
        <v>0</v>
      </c>
    </row>
    <row r="17" spans="1:77" ht="15.6" x14ac:dyDescent="0.3">
      <c r="A17" t="s">
        <v>163</v>
      </c>
      <c r="C17" s="3"/>
      <c r="D17" s="3"/>
      <c r="F17" s="3"/>
      <c r="G17" s="3"/>
      <c r="H17" t="s">
        <v>165</v>
      </c>
      <c r="I17" s="3">
        <f>C2*0.83</f>
        <v>16.530280000000001</v>
      </c>
      <c r="J17" s="3"/>
      <c r="K17" t="s">
        <v>183</v>
      </c>
      <c r="L17" s="3">
        <f>C2*0.83</f>
        <v>16.530280000000001</v>
      </c>
      <c r="M17" s="3">
        <f>C2*(0.83+1)/2</f>
        <v>18.223140000000001</v>
      </c>
      <c r="N17" s="3">
        <f>C2</f>
        <v>19.916</v>
      </c>
      <c r="O17" s="3"/>
      <c r="P17" s="3"/>
      <c r="Q17" s="3"/>
      <c r="R17" s="3"/>
      <c r="S17" s="3" t="s">
        <v>711</v>
      </c>
      <c r="T17" s="3">
        <f>T14-T8</f>
        <v>19.202978632478633</v>
      </c>
      <c r="U17" s="3"/>
      <c r="V17" t="s">
        <v>163</v>
      </c>
      <c r="W17" s="3"/>
      <c r="X17" t="s">
        <v>198</v>
      </c>
      <c r="Y17" s="3">
        <v>30</v>
      </c>
      <c r="Z17" s="3"/>
      <c r="AB17" t="s">
        <v>100</v>
      </c>
      <c r="AC17" s="3">
        <f>(AC12/3)*5/12</f>
        <v>5.1666666666666661</v>
      </c>
      <c r="AD17" s="3">
        <f>AD15*0.15</f>
        <v>6.3034139999999992</v>
      </c>
      <c r="AE17" s="3">
        <f>AE19*0.12</f>
        <v>5.7386759039999991</v>
      </c>
      <c r="AF17" s="3"/>
      <c r="AG17" s="3"/>
      <c r="AH17" s="30">
        <v>6</v>
      </c>
      <c r="AI17" s="30">
        <f>AH17*12/AG2</f>
        <v>1.5</v>
      </c>
      <c r="AJ17" t="s">
        <v>203</v>
      </c>
      <c r="AP17" t="s">
        <v>227</v>
      </c>
      <c r="AQ17">
        <v>18</v>
      </c>
      <c r="AS17">
        <v>18.5</v>
      </c>
      <c r="AT17">
        <v>19.5</v>
      </c>
      <c r="BD17" t="s">
        <v>647</v>
      </c>
      <c r="BE17" s="3"/>
      <c r="BF17" s="3"/>
      <c r="BG17" s="3"/>
      <c r="BH17" s="34">
        <f>BH16*0.027</f>
        <v>0.20249999999999999</v>
      </c>
      <c r="BQ17" t="s">
        <v>303</v>
      </c>
      <c r="BR17" s="24">
        <v>1.2E-2</v>
      </c>
      <c r="BS17" s="15">
        <f t="shared" ref="BS17:BS23" si="4">20*12</f>
        <v>240</v>
      </c>
      <c r="BT17" s="38">
        <v>0</v>
      </c>
      <c r="BU17" s="40">
        <f t="shared" ref="BU17:BU24" si="5">ROUNDUP(BT17/BS17,0)</f>
        <v>0</v>
      </c>
      <c r="BV17" s="13">
        <v>5.75</v>
      </c>
      <c r="BW17" s="39">
        <f t="shared" ref="BW17:BW24" si="6">BU17*BV17</f>
        <v>0</v>
      </c>
    </row>
    <row r="18" spans="1:77" ht="15.6" x14ac:dyDescent="0.3">
      <c r="A18" t="s">
        <v>33</v>
      </c>
      <c r="B18" t="s">
        <v>9</v>
      </c>
      <c r="C18" s="3">
        <f>C5*0.9</f>
        <v>39.971412000000001</v>
      </c>
      <c r="D18" s="3"/>
      <c r="E18" t="s">
        <v>96</v>
      </c>
      <c r="F18" s="3">
        <f>C2*2.11</f>
        <v>42.022759999999998</v>
      </c>
      <c r="G18" s="3"/>
      <c r="H18" t="s">
        <v>157</v>
      </c>
      <c r="I18" s="3">
        <f>I23+I21</f>
        <v>53.560975103999994</v>
      </c>
      <c r="J18" s="3"/>
      <c r="L18" s="3"/>
      <c r="M18" s="3"/>
      <c r="N18" s="3"/>
      <c r="O18" s="3"/>
      <c r="P18" t="s">
        <v>665</v>
      </c>
      <c r="Q18" s="3">
        <f>Q20+Q2</f>
        <v>48.576749999999997</v>
      </c>
      <c r="R18" s="3"/>
      <c r="S18" s="3" t="s">
        <v>688</v>
      </c>
      <c r="T18" s="3">
        <f>(56.72+57.05)/2</f>
        <v>56.884999999999998</v>
      </c>
      <c r="U18" s="3"/>
      <c r="V18" t="s">
        <v>33</v>
      </c>
      <c r="W18" s="3"/>
      <c r="X18" t="s">
        <v>197</v>
      </c>
      <c r="Y18" s="3">
        <v>10</v>
      </c>
      <c r="Z18" s="3"/>
      <c r="AB18" t="s">
        <v>101</v>
      </c>
      <c r="AC18" s="3">
        <f>AC13*0.75</f>
        <v>9.2999999999999989</v>
      </c>
      <c r="AD18" s="3">
        <f>AD16*0.7</f>
        <v>9.5307619679999984</v>
      </c>
      <c r="AE18" s="3"/>
      <c r="AF18" s="3"/>
      <c r="AG18" s="3"/>
      <c r="AH18" s="30">
        <f>AH16*0.75</f>
        <v>12</v>
      </c>
      <c r="AI18" s="30">
        <f>AH18/AG2</f>
        <v>0.25</v>
      </c>
      <c r="AP18" t="s">
        <v>222</v>
      </c>
      <c r="AQ18" s="9">
        <f>AQ17/(AQ16*12)</f>
        <v>5.1724137931034482E-2</v>
      </c>
      <c r="AS18" s="9">
        <f t="shared" ref="AS18:AT18" si="7">AS17/(AS16*12)</f>
        <v>4.8941798941798939E-2</v>
      </c>
      <c r="AT18" s="9">
        <f t="shared" si="7"/>
        <v>5.2419354838709679E-2</v>
      </c>
      <c r="BD18" t="s">
        <v>275</v>
      </c>
      <c r="BE18" s="3"/>
      <c r="BF18" s="3">
        <f>BF12*0.87</f>
        <v>5.1276984374999994</v>
      </c>
      <c r="BG18" s="3">
        <f>BG12*0.87</f>
        <v>5.4808401478619562</v>
      </c>
      <c r="BH18" s="11">
        <v>5.5</v>
      </c>
      <c r="BQ18" t="s">
        <v>303</v>
      </c>
      <c r="BR18" s="24">
        <v>1.7999999999999999E-2</v>
      </c>
      <c r="BS18" s="15">
        <f t="shared" si="4"/>
        <v>240</v>
      </c>
      <c r="BT18" s="38">
        <v>0</v>
      </c>
      <c r="BU18" s="40">
        <f t="shared" si="5"/>
        <v>0</v>
      </c>
      <c r="BV18" s="13">
        <v>6.25</v>
      </c>
      <c r="BW18" s="39">
        <f t="shared" si="6"/>
        <v>0</v>
      </c>
    </row>
    <row r="19" spans="1:77" ht="15.6" x14ac:dyDescent="0.3">
      <c r="A19" t="s">
        <v>10</v>
      </c>
      <c r="B19" t="s">
        <v>13</v>
      </c>
      <c r="C19" s="3">
        <f>C18/3</f>
        <v>13.323804000000001</v>
      </c>
      <c r="D19" s="3"/>
      <c r="E19" t="s">
        <v>86</v>
      </c>
      <c r="F19" s="3">
        <f>(F18*0.027)*12</f>
        <v>13.61537424</v>
      </c>
      <c r="G19" s="3"/>
      <c r="I19" s="3"/>
      <c r="J19" s="3"/>
      <c r="L19" s="3"/>
      <c r="M19" s="3"/>
      <c r="N19" s="3"/>
      <c r="O19" s="3"/>
      <c r="P19" s="3" t="s">
        <v>669</v>
      </c>
      <c r="Q19" s="3">
        <f>Q6*11/12</f>
        <v>13.692250000000001</v>
      </c>
      <c r="R19" s="3"/>
      <c r="S19" s="3" t="s">
        <v>692</v>
      </c>
      <c r="T19" s="3">
        <f>T18/3.5</f>
        <v>16.252857142857142</v>
      </c>
      <c r="U19" s="3"/>
      <c r="V19" t="s">
        <v>10</v>
      </c>
      <c r="W19" s="3"/>
      <c r="X19" s="3"/>
      <c r="Y19" s="3"/>
      <c r="Z19" s="3"/>
      <c r="AB19" t="s">
        <v>217</v>
      </c>
      <c r="AC19" s="3"/>
      <c r="AD19" s="3"/>
      <c r="AE19" s="3">
        <f>AE10*0.92</f>
        <v>47.822299199999996</v>
      </c>
      <c r="AF19" s="3">
        <f>AF10*(0.9+0.97)/2</f>
        <v>50.277942000000003</v>
      </c>
      <c r="AG19" s="3"/>
      <c r="AH19" s="30">
        <f>AH15-AH17</f>
        <v>54</v>
      </c>
      <c r="AI19" s="30">
        <f>AH19*12/AG2</f>
        <v>13.5</v>
      </c>
      <c r="BD19" t="s">
        <v>276</v>
      </c>
      <c r="BE19" s="3"/>
      <c r="BF19" s="3">
        <f>BF18*0.22</f>
        <v>1.1280936562499999</v>
      </c>
      <c r="BG19" s="3">
        <f>BG18*0.22</f>
        <v>1.2057848325296303</v>
      </c>
      <c r="BH19" s="34">
        <f>BH18*0.022</f>
        <v>0.121</v>
      </c>
      <c r="BQ19" t="s">
        <v>303</v>
      </c>
      <c r="BR19" s="24">
        <v>2.5000000000000001E-2</v>
      </c>
      <c r="BS19" s="15">
        <f t="shared" si="4"/>
        <v>240</v>
      </c>
      <c r="BT19" s="38">
        <v>0</v>
      </c>
      <c r="BU19" s="40">
        <f t="shared" si="5"/>
        <v>0</v>
      </c>
      <c r="BV19" s="13">
        <v>6.25</v>
      </c>
      <c r="BW19" s="39">
        <f t="shared" si="6"/>
        <v>0</v>
      </c>
    </row>
    <row r="20" spans="1:77" ht="15.6" x14ac:dyDescent="0.3">
      <c r="A20" t="s">
        <v>670</v>
      </c>
      <c r="C20" s="3"/>
      <c r="D20" s="3"/>
      <c r="F20" s="3"/>
      <c r="G20" s="3"/>
      <c r="I20" s="3"/>
      <c r="J20" s="3"/>
      <c r="L20" s="3"/>
      <c r="M20" s="3"/>
      <c r="N20" s="3"/>
      <c r="O20" s="3"/>
      <c r="P20" s="3" t="s">
        <v>671</v>
      </c>
      <c r="Q20" s="3">
        <f>Q7*11/12</f>
        <v>41.076749999999997</v>
      </c>
      <c r="R20" s="3"/>
      <c r="S20" s="3" t="s">
        <v>713</v>
      </c>
      <c r="T20" s="3">
        <f>T18-Q2</f>
        <v>49.384999999999998</v>
      </c>
      <c r="U20" s="3"/>
      <c r="V20" t="s">
        <v>670</v>
      </c>
      <c r="W20" s="3"/>
      <c r="X20" s="3"/>
      <c r="Y20" s="3"/>
      <c r="Z20" s="3"/>
      <c r="AB20" t="s">
        <v>219</v>
      </c>
      <c r="AC20" s="3"/>
      <c r="AD20" s="3"/>
      <c r="AE20" s="3"/>
      <c r="AF20" s="3"/>
      <c r="AG20" s="3"/>
      <c r="AH20" s="30">
        <f>Y16-AH17-(Y14*48/12)</f>
        <v>44.64</v>
      </c>
      <c r="AI20" s="30">
        <f>AH20*12/AG2</f>
        <v>11.160000000000002</v>
      </c>
      <c r="BD20" t="s">
        <v>650</v>
      </c>
      <c r="BE20" s="3"/>
      <c r="BF20" s="3">
        <f>BE4*0.572</f>
        <v>9.5809999999999995</v>
      </c>
      <c r="BG20" s="3"/>
      <c r="BH20" s="11">
        <v>9.6</v>
      </c>
      <c r="BQ20" t="s">
        <v>303</v>
      </c>
      <c r="BR20" s="24">
        <v>3.5000000000000003E-2</v>
      </c>
      <c r="BS20" s="15">
        <f t="shared" si="4"/>
        <v>240</v>
      </c>
      <c r="BT20" s="38">
        <v>0</v>
      </c>
      <c r="BU20" s="40">
        <f t="shared" si="5"/>
        <v>0</v>
      </c>
      <c r="BV20" s="13">
        <v>6.75</v>
      </c>
      <c r="BW20" s="39">
        <f t="shared" si="6"/>
        <v>0</v>
      </c>
    </row>
    <row r="21" spans="1:77" ht="15.6" x14ac:dyDescent="0.3">
      <c r="A21" t="s">
        <v>100</v>
      </c>
      <c r="B21" t="s">
        <v>105</v>
      </c>
      <c r="C21" s="3">
        <f>(C14/3)*5/12</f>
        <v>3.7010566666666667</v>
      </c>
      <c r="D21" s="3"/>
      <c r="E21" t="s">
        <v>102</v>
      </c>
      <c r="F21" s="3">
        <f>F18*0.15</f>
        <v>6.3034139999999992</v>
      </c>
      <c r="G21" s="3"/>
      <c r="H21" t="s">
        <v>156</v>
      </c>
      <c r="I21" s="3">
        <f>I23*0.12</f>
        <v>5.7386759039999991</v>
      </c>
      <c r="J21" s="3"/>
      <c r="L21" s="3"/>
      <c r="M21" s="3"/>
      <c r="N21" s="3"/>
      <c r="O21" s="3"/>
      <c r="P21" s="3" t="s">
        <v>672</v>
      </c>
      <c r="Q21" s="3">
        <f>Q20/6</f>
        <v>6.8461249999999998</v>
      </c>
      <c r="R21" s="3"/>
      <c r="S21" s="3" t="s">
        <v>690</v>
      </c>
      <c r="T21" s="3">
        <f>T18/5</f>
        <v>11.376999999999999</v>
      </c>
      <c r="U21" s="3"/>
      <c r="V21" t="s">
        <v>100</v>
      </c>
      <c r="W21" s="3"/>
      <c r="X21" s="3"/>
      <c r="Y21" s="3"/>
      <c r="Z21" s="3"/>
      <c r="AB21" t="s">
        <v>87</v>
      </c>
      <c r="AC21" s="3">
        <f>AC15*0.6</f>
        <v>36</v>
      </c>
      <c r="AD21" s="3">
        <f>Y3*1.25</f>
        <v>24.895</v>
      </c>
      <c r="AE21" s="3">
        <f>AE23+AE23*0.5</f>
        <v>24.79542</v>
      </c>
      <c r="AF21" s="3"/>
      <c r="AG21" s="3"/>
      <c r="AH21" s="30">
        <f>Y17</f>
        <v>30</v>
      </c>
      <c r="AI21" s="30">
        <f>AH21*12/AG2</f>
        <v>7.5</v>
      </c>
      <c r="AJ21" t="s">
        <v>203</v>
      </c>
      <c r="BD21" t="s">
        <v>651</v>
      </c>
      <c r="BE21" s="3"/>
      <c r="BF21" s="3">
        <f>BF20*0.021</f>
        <v>0.20120099999999999</v>
      </c>
      <c r="BG21" s="3"/>
      <c r="BH21" s="11">
        <v>0.2</v>
      </c>
      <c r="BQ21" t="s">
        <v>303</v>
      </c>
      <c r="BR21" s="24">
        <v>4.4999999999999998E-2</v>
      </c>
      <c r="BS21" s="15">
        <f t="shared" si="4"/>
        <v>240</v>
      </c>
      <c r="BT21" s="38">
        <v>0</v>
      </c>
      <c r="BU21" s="40">
        <f t="shared" si="5"/>
        <v>0</v>
      </c>
      <c r="BV21" s="13">
        <v>7</v>
      </c>
      <c r="BW21" s="39">
        <f t="shared" si="6"/>
        <v>0</v>
      </c>
    </row>
    <row r="22" spans="1:77" ht="15.6" x14ac:dyDescent="0.3">
      <c r="A22" t="s">
        <v>101</v>
      </c>
      <c r="B22" t="s">
        <v>106</v>
      </c>
      <c r="C22" s="3">
        <f>C16*0.75</f>
        <v>6.6619019999999995</v>
      </c>
      <c r="D22" s="3"/>
      <c r="E22" t="s">
        <v>103</v>
      </c>
      <c r="F22" s="3">
        <f>F19*0.7</f>
        <v>9.5307619679999984</v>
      </c>
      <c r="G22" s="3"/>
      <c r="I22" s="3"/>
      <c r="J22" s="3"/>
      <c r="L22" s="3"/>
      <c r="M22" s="3"/>
      <c r="N22" s="3"/>
      <c r="O22" s="3"/>
      <c r="P22" s="3" t="s">
        <v>675</v>
      </c>
      <c r="Q22" s="3">
        <f>Q27*7/8</f>
        <v>10.483128906250002</v>
      </c>
      <c r="R22" s="3"/>
      <c r="S22" s="3"/>
      <c r="T22" s="3"/>
      <c r="U22" s="3"/>
      <c r="V22" t="s">
        <v>101</v>
      </c>
      <c r="W22" s="3"/>
      <c r="X22" s="5" t="s">
        <v>208</v>
      </c>
      <c r="Y22" s="3"/>
      <c r="Z22" s="3"/>
      <c r="AB22" t="s">
        <v>88</v>
      </c>
      <c r="AC22" s="3">
        <f>AC21/3</f>
        <v>12</v>
      </c>
      <c r="AD22" s="3">
        <f>(AD21*0.027)*12</f>
        <v>8.0659799999999997</v>
      </c>
      <c r="AE22" s="3"/>
      <c r="AF22" s="3"/>
      <c r="AG22" s="3"/>
      <c r="AH22" s="30">
        <f>AH21/3</f>
        <v>10</v>
      </c>
      <c r="AI22" s="30">
        <f>AH22/AG2</f>
        <v>0.20833333333333334</v>
      </c>
      <c r="AP22" t="s">
        <v>256</v>
      </c>
      <c r="AR22" s="9">
        <f>AR8/AR5</f>
        <v>0.82178217821782173</v>
      </c>
      <c r="AS22" s="9">
        <f>AS8/AS5</f>
        <v>0.920875</v>
      </c>
      <c r="AT22" s="9">
        <f t="shared" ref="AT22:BA22" si="8">AT8/AT5</f>
        <v>0.6</v>
      </c>
      <c r="AU22" s="9">
        <f t="shared" si="8"/>
        <v>0.79507692307692313</v>
      </c>
      <c r="AV22" s="9">
        <f t="shared" si="8"/>
        <v>0.81716454218157053</v>
      </c>
      <c r="AW22" s="9">
        <f t="shared" si="8"/>
        <v>0.77794545650533586</v>
      </c>
      <c r="AX22" s="9">
        <f t="shared" si="8"/>
        <v>0.93935006435006441</v>
      </c>
      <c r="AY22" s="9">
        <f t="shared" si="8"/>
        <v>0.95752705805182037</v>
      </c>
      <c r="AZ22" s="9">
        <f t="shared" si="8"/>
        <v>1.0487421383647799</v>
      </c>
      <c r="BA22" s="9">
        <f t="shared" si="8"/>
        <v>1.0483011937557392</v>
      </c>
      <c r="BD22" t="s">
        <v>278</v>
      </c>
      <c r="BE22" s="3"/>
      <c r="BF22" s="3">
        <f>BF20*0.71</f>
        <v>6.8025099999999989</v>
      </c>
      <c r="BG22" s="3"/>
      <c r="BH22" s="11">
        <v>6.8</v>
      </c>
      <c r="BQ22" t="s">
        <v>303</v>
      </c>
      <c r="BR22" s="24">
        <v>5.3999999999999999E-2</v>
      </c>
      <c r="BS22" s="15">
        <f t="shared" si="4"/>
        <v>240</v>
      </c>
      <c r="BT22" s="38">
        <v>0</v>
      </c>
      <c r="BU22" s="40">
        <f t="shared" si="5"/>
        <v>0</v>
      </c>
      <c r="BV22" s="13">
        <v>7.25</v>
      </c>
      <c r="BW22" s="39">
        <f t="shared" si="6"/>
        <v>0</v>
      </c>
    </row>
    <row r="23" spans="1:77" ht="15.6" x14ac:dyDescent="0.3">
      <c r="A23" t="s">
        <v>158</v>
      </c>
      <c r="C23" s="3"/>
      <c r="D23" s="3"/>
      <c r="F23" s="3"/>
      <c r="G23" s="3"/>
      <c r="H23" t="s">
        <v>159</v>
      </c>
      <c r="I23" s="3">
        <f>I11*0.92</f>
        <v>47.822299199999996</v>
      </c>
      <c r="J23" s="3"/>
      <c r="K23" t="s">
        <v>182</v>
      </c>
      <c r="L23" s="3">
        <f>M11*0.9</f>
        <v>48.395880000000005</v>
      </c>
      <c r="M23" s="3">
        <f>M11*(0.9+0.97)/2</f>
        <v>50.277942000000003</v>
      </c>
      <c r="N23" s="3">
        <f>M11*0.97</f>
        <v>52.160004000000001</v>
      </c>
      <c r="O23" s="3"/>
      <c r="P23" s="3"/>
      <c r="Q23" s="3"/>
      <c r="R23" s="3"/>
      <c r="S23" s="3" t="s">
        <v>711</v>
      </c>
      <c r="T23" s="3">
        <f>T18-T21</f>
        <v>45.507999999999996</v>
      </c>
      <c r="U23" s="3"/>
      <c r="V23" t="s">
        <v>158</v>
      </c>
      <c r="W23" s="3"/>
      <c r="X23" s="6" t="s">
        <v>209</v>
      </c>
      <c r="Y23" s="3"/>
      <c r="Z23" s="3"/>
      <c r="AB23" t="s">
        <v>167</v>
      </c>
      <c r="AC23" s="3"/>
      <c r="AD23" s="3"/>
      <c r="AE23" s="3">
        <f>AE14</f>
        <v>16.530280000000001</v>
      </c>
      <c r="AF23" s="3">
        <f>Y3*(0.83+1)/2</f>
        <v>18.223140000000001</v>
      </c>
      <c r="AG23" s="3"/>
      <c r="AH23" s="30">
        <f>AH21-AH17</f>
        <v>24</v>
      </c>
      <c r="AI23" s="30">
        <f>AH23*12/AG2</f>
        <v>6</v>
      </c>
      <c r="AP23" t="s">
        <v>257</v>
      </c>
      <c r="AR23" s="9">
        <f>AR8/AR6</f>
        <v>3.3644102148358326</v>
      </c>
      <c r="AS23" s="9">
        <f t="shared" ref="AS23:BA23" si="9">AS8/AS6</f>
        <v>3.1795425118687959</v>
      </c>
      <c r="AT23" s="9">
        <f t="shared" si="9"/>
        <v>2.3076923076923075</v>
      </c>
      <c r="AU23" s="9">
        <f t="shared" si="9"/>
        <v>3.1798561151079139</v>
      </c>
      <c r="AV23" s="9">
        <f t="shared" si="9"/>
        <v>3.2324865280985375</v>
      </c>
      <c r="AW23" s="9">
        <f t="shared" si="9"/>
        <v>3.0058309037900872</v>
      </c>
      <c r="AX23" s="9">
        <f t="shared" si="9"/>
        <v>3.2420877290394223</v>
      </c>
      <c r="AY23" s="9">
        <f t="shared" si="9"/>
        <v>3.436727486756916</v>
      </c>
      <c r="AZ23" s="9">
        <f t="shared" si="9"/>
        <v>3.2965403624382206</v>
      </c>
      <c r="BA23" s="9">
        <f t="shared" si="9"/>
        <v>3.3715298287064384</v>
      </c>
      <c r="BD23" t="s">
        <v>279</v>
      </c>
      <c r="BE23" s="3"/>
      <c r="BF23" s="3">
        <f>BF22*0.021</f>
        <v>0.14285270999999999</v>
      </c>
      <c r="BG23" s="3"/>
      <c r="BH23" s="11">
        <v>0.14000000000000001</v>
      </c>
      <c r="BQ23" t="s">
        <v>304</v>
      </c>
      <c r="BR23" s="24">
        <v>6.2E-2</v>
      </c>
      <c r="BS23" s="15">
        <f t="shared" si="4"/>
        <v>240</v>
      </c>
      <c r="BT23" s="38">
        <v>0</v>
      </c>
      <c r="BU23" s="40">
        <f t="shared" si="5"/>
        <v>0</v>
      </c>
      <c r="BV23" s="13">
        <v>7.5</v>
      </c>
      <c r="BW23" s="39">
        <f t="shared" si="6"/>
        <v>0</v>
      </c>
    </row>
    <row r="24" spans="1:77" ht="15.6" x14ac:dyDescent="0.3">
      <c r="A24" t="s">
        <v>87</v>
      </c>
      <c r="B24" t="s">
        <v>92</v>
      </c>
      <c r="C24" s="3">
        <f>C18*0.6</f>
        <v>23.982847199999998</v>
      </c>
      <c r="D24" s="3"/>
      <c r="E24" t="s">
        <v>93</v>
      </c>
      <c r="F24" s="3">
        <f>C2*1.25</f>
        <v>24.895</v>
      </c>
      <c r="G24" s="3"/>
      <c r="H24" t="s">
        <v>166</v>
      </c>
      <c r="I24" s="3">
        <f>I26+I26*0.5</f>
        <v>24.79542</v>
      </c>
      <c r="J24" s="3"/>
      <c r="L24" s="3"/>
      <c r="M24" s="3"/>
      <c r="N24" s="3"/>
      <c r="O24" s="3"/>
      <c r="P24" s="3" t="s">
        <v>93</v>
      </c>
      <c r="Q24" s="3">
        <f>C2*1.25</f>
        <v>24.895</v>
      </c>
      <c r="R24" s="3"/>
      <c r="S24" s="3" t="s">
        <v>694</v>
      </c>
      <c r="T24" s="3">
        <f>T18/2</f>
        <v>28.442499999999999</v>
      </c>
      <c r="U24" s="3"/>
      <c r="V24" t="s">
        <v>87</v>
      </c>
      <c r="W24" s="3"/>
      <c r="X24" s="3"/>
      <c r="Y24" s="3"/>
      <c r="Z24" s="3"/>
      <c r="AB24" t="s">
        <v>14</v>
      </c>
      <c r="AC24" s="3">
        <f>AC5*0.6</f>
        <v>37.199999999999996</v>
      </c>
      <c r="AD24" s="3">
        <f>Y3*1.4</f>
        <v>27.882400000000001</v>
      </c>
      <c r="AE24" s="3">
        <f>AE15*0.49</f>
        <v>26.244877800959998</v>
      </c>
      <c r="AF24" s="3">
        <f>Y4*0.33</f>
        <v>21.12</v>
      </c>
      <c r="AG24" s="3"/>
      <c r="AH24" s="30">
        <v>24</v>
      </c>
      <c r="AI24" s="30">
        <f>AH24*12/AG2</f>
        <v>6</v>
      </c>
      <c r="AJ24" s="7" t="s">
        <v>220</v>
      </c>
      <c r="AP24" t="s">
        <v>258</v>
      </c>
      <c r="AR24" s="9">
        <f>AR12/AR5</f>
        <v>0.79207920792079212</v>
      </c>
      <c r="AS24" s="9">
        <f t="shared" ref="AS24:BA24" si="10">AS12/AS5</f>
        <v>0.84587500000000004</v>
      </c>
      <c r="AT24" s="9">
        <f t="shared" si="10"/>
        <v>0.58420000000000005</v>
      </c>
      <c r="AU24" s="9">
        <f t="shared" si="10"/>
        <v>0.77718343195266271</v>
      </c>
      <c r="AV24" s="9">
        <f t="shared" si="10"/>
        <v>0.79877396127274503</v>
      </c>
      <c r="AW24" s="9">
        <f t="shared" si="10"/>
        <v>0.75320685566454681</v>
      </c>
      <c r="AX24" s="9">
        <f t="shared" si="10"/>
        <v>0.90765765765765771</v>
      </c>
      <c r="AY24" s="9">
        <f t="shared" si="10"/>
        <v>0.92522138406034771</v>
      </c>
      <c r="AZ24" s="9">
        <f t="shared" si="10"/>
        <v>1.0143256464011181</v>
      </c>
      <c r="BA24" s="9">
        <f t="shared" si="10"/>
        <v>1.012121212121212</v>
      </c>
      <c r="BD24" t="s">
        <v>280</v>
      </c>
      <c r="BE24" s="3"/>
      <c r="BF24" s="3">
        <f>BF28*0.73</f>
        <v>4.5364024999999994</v>
      </c>
      <c r="BG24" s="3"/>
      <c r="BH24" s="11">
        <v>6</v>
      </c>
      <c r="BQ24" t="s">
        <v>303</v>
      </c>
      <c r="BR24" s="24">
        <v>0.08</v>
      </c>
      <c r="BS24" s="15">
        <f>10*12</f>
        <v>120</v>
      </c>
      <c r="BT24" s="38">
        <v>0</v>
      </c>
      <c r="BU24" s="40">
        <f t="shared" si="5"/>
        <v>0</v>
      </c>
      <c r="BV24" s="13">
        <v>7.75</v>
      </c>
      <c r="BW24" s="39">
        <f t="shared" si="6"/>
        <v>0</v>
      </c>
    </row>
    <row r="25" spans="1:77" ht="15.6" x14ac:dyDescent="0.3">
      <c r="A25" t="s">
        <v>88</v>
      </c>
      <c r="B25" t="s">
        <v>5</v>
      </c>
      <c r="C25" s="3">
        <f>C24/3</f>
        <v>7.9942823999999995</v>
      </c>
      <c r="D25" s="3"/>
      <c r="E25" t="s">
        <v>86</v>
      </c>
      <c r="F25" s="3">
        <f>(F24*0.027)*12</f>
        <v>8.0659799999999997</v>
      </c>
      <c r="G25" s="3"/>
      <c r="I25" s="3"/>
      <c r="J25" s="3"/>
      <c r="L25" s="3"/>
      <c r="M25" s="3"/>
      <c r="N25" s="3"/>
      <c r="O25" s="3"/>
      <c r="P25" s="3" t="s">
        <v>681</v>
      </c>
      <c r="Q25" s="3">
        <f>C2*0.25</f>
        <v>4.9790000000000001</v>
      </c>
      <c r="R25" s="3"/>
      <c r="S25" s="3" t="s">
        <v>696</v>
      </c>
      <c r="T25" s="3">
        <f>T24/4</f>
        <v>7.1106249999999998</v>
      </c>
      <c r="U25" s="3"/>
      <c r="V25" t="s">
        <v>88</v>
      </c>
      <c r="W25" s="3"/>
      <c r="X25" s="3"/>
      <c r="Y25" s="3"/>
      <c r="Z25" s="3"/>
      <c r="AB25" t="s">
        <v>15</v>
      </c>
      <c r="AC25" s="3">
        <f>(AC24/3)*(1+2/9)</f>
        <v>15.155555555555555</v>
      </c>
      <c r="AD25" s="3">
        <f>(AD24*0.028)*12</f>
        <v>9.3684864000000001</v>
      </c>
      <c r="AE25" s="3"/>
      <c r="AF25" s="3"/>
      <c r="AG25" s="3"/>
      <c r="AH25" s="30"/>
      <c r="AI25" s="30"/>
      <c r="AJ25" s="3"/>
      <c r="AP25" t="s">
        <v>259</v>
      </c>
      <c r="AR25" s="9">
        <f>AR12/AR6</f>
        <v>3.2428050263477908</v>
      </c>
      <c r="AS25" s="9">
        <f t="shared" ref="AS25:BA25" si="11">AS12/AS6</f>
        <v>2.9205869659041861</v>
      </c>
      <c r="AT25" s="9">
        <f t="shared" si="11"/>
        <v>2.246923076923077</v>
      </c>
      <c r="AU25" s="9">
        <f t="shared" si="11"/>
        <v>3.108292313517607</v>
      </c>
      <c r="AV25" s="9">
        <f t="shared" si="11"/>
        <v>3.1597382602001542</v>
      </c>
      <c r="AW25" s="9">
        <f t="shared" si="11"/>
        <v>2.910245730945439</v>
      </c>
      <c r="AX25" s="9">
        <f t="shared" si="11"/>
        <v>3.13270405330372</v>
      </c>
      <c r="AY25" s="9">
        <f t="shared" si="11"/>
        <v>3.3207769276044736</v>
      </c>
      <c r="AZ25" s="9">
        <f t="shared" si="11"/>
        <v>3.1883580450302031</v>
      </c>
      <c r="BA25" s="9">
        <f t="shared" si="11"/>
        <v>3.2551683402244538</v>
      </c>
      <c r="BD25" t="s">
        <v>281</v>
      </c>
      <c r="BE25" s="3"/>
      <c r="BF25" s="3">
        <f>BF24*0.01</f>
        <v>4.5364024999999995E-2</v>
      </c>
      <c r="BG25" s="3"/>
      <c r="BH25" s="11">
        <v>0.1</v>
      </c>
    </row>
    <row r="26" spans="1:77" ht="15.6" x14ac:dyDescent="0.3">
      <c r="A26" t="s">
        <v>167</v>
      </c>
      <c r="C26" s="3"/>
      <c r="D26" s="3"/>
      <c r="F26" s="3"/>
      <c r="G26" s="3"/>
      <c r="H26" t="s">
        <v>168</v>
      </c>
      <c r="I26" s="3">
        <f>I17</f>
        <v>16.530280000000001</v>
      </c>
      <c r="J26" s="3"/>
      <c r="K26" t="s">
        <v>183</v>
      </c>
      <c r="L26" s="3">
        <f>C2*0.83</f>
        <v>16.530280000000001</v>
      </c>
      <c r="M26" s="3">
        <f>C2*(0.83+1)/2</f>
        <v>18.223140000000001</v>
      </c>
      <c r="N26" s="3">
        <f>C2</f>
        <v>19.916</v>
      </c>
      <c r="O26" s="3"/>
      <c r="P26" s="3"/>
      <c r="Q26" s="3"/>
      <c r="R26" s="3"/>
      <c r="S26" s="3" t="s">
        <v>714</v>
      </c>
      <c r="T26" s="3">
        <f>T24-T21</f>
        <v>17.0655</v>
      </c>
      <c r="U26" s="3"/>
      <c r="V26" t="s">
        <v>167</v>
      </c>
      <c r="W26" s="3"/>
      <c r="X26" s="3"/>
      <c r="Y26" s="3"/>
      <c r="Z26" s="3"/>
      <c r="AB26" t="s">
        <v>180</v>
      </c>
      <c r="AC26" s="3">
        <f>AC24*0.715</f>
        <v>26.597999999999995</v>
      </c>
      <c r="AD26" s="3">
        <f>Y3*1.1</f>
        <v>21.907600000000002</v>
      </c>
      <c r="AE26" s="3">
        <f>AE24*0.87</f>
        <v>22.833043686835197</v>
      </c>
      <c r="AF26" s="3">
        <f>Y4*0.4</f>
        <v>25.6</v>
      </c>
      <c r="AG26" s="3"/>
      <c r="AH26" s="30">
        <v>26</v>
      </c>
      <c r="AI26" s="30">
        <f>AH26*12/AG2</f>
        <v>6.5</v>
      </c>
      <c r="AJ26" s="7" t="s">
        <v>221</v>
      </c>
      <c r="AP26" t="s">
        <v>260</v>
      </c>
      <c r="AS26" s="9">
        <f>AS16/AS5</f>
        <v>0.39374999999999999</v>
      </c>
      <c r="AT26" s="9">
        <f t="shared" ref="AT26:AY26" si="12">AT16/AT5</f>
        <v>0.31</v>
      </c>
      <c r="AY26" s="8">
        <f t="shared" si="12"/>
        <v>0.23122335191866186</v>
      </c>
      <c r="BA26" s="8">
        <f>BA16/BA5</f>
        <v>0.20477502295684114</v>
      </c>
      <c r="BD26" t="s">
        <v>282</v>
      </c>
      <c r="BE26" s="3"/>
      <c r="BF26" s="3">
        <f>BE4*0.7</f>
        <v>11.725</v>
      </c>
      <c r="BG26" s="3"/>
      <c r="BH26" s="11">
        <v>11.7</v>
      </c>
      <c r="BS26" s="14" t="s">
        <v>527</v>
      </c>
      <c r="BT26" s="14" t="s">
        <v>732</v>
      </c>
      <c r="BU26" s="14" t="s">
        <v>732</v>
      </c>
      <c r="BV26" s="4" t="s">
        <v>633</v>
      </c>
      <c r="BW26" s="4" t="s">
        <v>635</v>
      </c>
      <c r="BX26" s="4" t="s">
        <v>760</v>
      </c>
    </row>
    <row r="27" spans="1:77" ht="15.6" x14ac:dyDescent="0.3">
      <c r="A27" t="s">
        <v>673</v>
      </c>
      <c r="C27" s="3"/>
      <c r="D27" s="3"/>
      <c r="F27" s="3"/>
      <c r="G27" s="3"/>
      <c r="I27" s="3"/>
      <c r="J27" s="3"/>
      <c r="L27" s="3"/>
      <c r="M27" s="3"/>
      <c r="N27" s="3"/>
      <c r="O27" s="3"/>
      <c r="P27" s="3" t="s">
        <v>674</v>
      </c>
      <c r="Q27" s="3">
        <f>Q19*7/8</f>
        <v>11.980718750000001</v>
      </c>
      <c r="R27" s="3"/>
      <c r="S27" s="3"/>
      <c r="T27" s="3"/>
      <c r="U27" s="3"/>
      <c r="V27" t="s">
        <v>673</v>
      </c>
      <c r="W27" s="3"/>
      <c r="X27" s="3"/>
      <c r="Y27" s="3"/>
      <c r="Z27" s="3"/>
      <c r="AB27" t="s">
        <v>19</v>
      </c>
      <c r="AC27" s="3">
        <f>(AC26/3)*7/8</f>
        <v>7.7577499999999979</v>
      </c>
      <c r="AD27" s="3">
        <f>(AD26*0.022)*12</f>
        <v>5.7836064</v>
      </c>
      <c r="AE27" s="3"/>
      <c r="AF27" s="3"/>
      <c r="AG27" s="3"/>
      <c r="AH27" s="30"/>
      <c r="AI27" s="30"/>
      <c r="AP27" t="s">
        <v>261</v>
      </c>
      <c r="AS27" s="9">
        <f>AS16/AS6</f>
        <v>1.3595166163141994</v>
      </c>
      <c r="AT27" s="9">
        <f t="shared" ref="AT27:AY27" si="13">AT16/AT6</f>
        <v>1.1923076923076923</v>
      </c>
      <c r="AY27" s="8">
        <f t="shared" si="13"/>
        <v>0.82989994114184817</v>
      </c>
      <c r="BA27" s="8">
        <f>BA16/BA6</f>
        <v>0.6585942114589487</v>
      </c>
      <c r="BD27" t="s">
        <v>283</v>
      </c>
      <c r="BE27" s="3"/>
      <c r="BF27" s="3">
        <f>BF26*0.013</f>
        <v>0.15242499999999998</v>
      </c>
      <c r="BG27" s="3"/>
      <c r="BH27" s="11">
        <v>0.2</v>
      </c>
      <c r="BQ27" s="1" t="s">
        <v>746</v>
      </c>
      <c r="BR27" s="14" t="s">
        <v>200</v>
      </c>
      <c r="BS27" s="14" t="s">
        <v>733</v>
      </c>
      <c r="BT27" s="14" t="s">
        <v>731</v>
      </c>
      <c r="BU27" s="14" t="s">
        <v>636</v>
      </c>
      <c r="BV27" s="4" t="s">
        <v>634</v>
      </c>
      <c r="BW27" s="4" t="s">
        <v>633</v>
      </c>
      <c r="BX27" s="4" t="s">
        <v>761</v>
      </c>
      <c r="BY27" s="42">
        <f>SUM(BW16:BW24)+SUM(BW28:BW51)</f>
        <v>0</v>
      </c>
    </row>
    <row r="28" spans="1:77" ht="15.6" x14ac:dyDescent="0.3">
      <c r="A28" t="s">
        <v>14</v>
      </c>
      <c r="B28" t="s">
        <v>11</v>
      </c>
      <c r="C28" s="3">
        <f>C5*0.6</f>
        <v>26.647608000000002</v>
      </c>
      <c r="D28" s="3"/>
      <c r="E28" t="s">
        <v>97</v>
      </c>
      <c r="F28" s="3">
        <f>C2*1.4</f>
        <v>27.882400000000001</v>
      </c>
      <c r="G28" s="3"/>
      <c r="H28" t="s">
        <v>169</v>
      </c>
      <c r="I28" s="3">
        <f>I18*0.49</f>
        <v>26.244877800959998</v>
      </c>
      <c r="J28" s="3"/>
      <c r="K28" t="s">
        <v>177</v>
      </c>
      <c r="L28" s="3"/>
      <c r="M28" s="3">
        <f>I2*0.33</f>
        <v>21.12</v>
      </c>
      <c r="N28" s="3"/>
      <c r="O28" s="3"/>
      <c r="P28" s="3" t="s">
        <v>682</v>
      </c>
      <c r="Q28" s="3">
        <f>(C2*11/12)*1.5</f>
        <v>27.384500000000003</v>
      </c>
      <c r="R28" s="3"/>
      <c r="S28" t="s">
        <v>707</v>
      </c>
      <c r="T28" s="3">
        <f>((T2/3+C2)/2)+T3</f>
        <v>31.376666666666665</v>
      </c>
      <c r="U28" s="3"/>
      <c r="V28" t="s">
        <v>14</v>
      </c>
      <c r="W28" s="3"/>
      <c r="X28" s="3"/>
      <c r="Y28" s="3"/>
      <c r="Z28" s="3"/>
      <c r="AB28" t="s">
        <v>18</v>
      </c>
      <c r="AC28" s="3">
        <f>(AC5*8/9)*0.875</f>
        <v>48.222222222222229</v>
      </c>
      <c r="AD28" s="3">
        <f>Y3*1.707</f>
        <v>33.996611999999999</v>
      </c>
      <c r="AE28" s="3">
        <f>Y4*0.572</f>
        <v>36.607999999999997</v>
      </c>
      <c r="AF28" s="3">
        <f>Y4*(0.47+0.57)/2</f>
        <v>33.28</v>
      </c>
      <c r="AG28" s="3"/>
      <c r="AH28" s="30"/>
      <c r="AI28" s="30"/>
      <c r="BD28" t="s">
        <v>293</v>
      </c>
      <c r="BE28" s="3"/>
      <c r="BF28" s="3">
        <f>BF26*0.53</f>
        <v>6.2142499999999998</v>
      </c>
      <c r="BG28" s="3"/>
      <c r="BH28" s="11">
        <v>6.2</v>
      </c>
      <c r="BQ28" s="26" t="s">
        <v>756</v>
      </c>
      <c r="BR28" s="28">
        <v>7.9000000000000001E-2</v>
      </c>
      <c r="BS28" s="38">
        <v>0</v>
      </c>
      <c r="BT28" s="15">
        <v>25</v>
      </c>
      <c r="BU28" s="40">
        <f>ROUNDUP(BS28/BT28,0)</f>
        <v>0</v>
      </c>
      <c r="BV28" s="13">
        <v>9.75</v>
      </c>
      <c r="BW28" s="41">
        <f>BU28*BV28</f>
        <v>0</v>
      </c>
    </row>
    <row r="29" spans="1:77" ht="15.6" x14ac:dyDescent="0.3">
      <c r="A29" t="s">
        <v>15</v>
      </c>
      <c r="B29" t="s">
        <v>16</v>
      </c>
      <c r="C29" s="3">
        <f>(C28/3)*(1+2/9)</f>
        <v>10.856432888888889</v>
      </c>
      <c r="D29" s="3"/>
      <c r="E29" t="s">
        <v>84</v>
      </c>
      <c r="F29" s="3">
        <f>(F28*0.028)*12</f>
        <v>9.3684864000000001</v>
      </c>
      <c r="G29" s="3"/>
      <c r="I29" s="3"/>
      <c r="J29" s="3"/>
      <c r="L29" s="3"/>
      <c r="M29" s="3"/>
      <c r="N29" s="3"/>
      <c r="O29" s="3"/>
      <c r="P29" s="3" t="s">
        <v>642</v>
      </c>
      <c r="Q29" s="3">
        <f>Q19</f>
        <v>13.692250000000001</v>
      </c>
      <c r="R29" s="3"/>
      <c r="S29" s="3" t="s">
        <v>701</v>
      </c>
      <c r="T29" s="3">
        <f>T19</f>
        <v>16.252857142857142</v>
      </c>
      <c r="U29" s="3"/>
      <c r="V29" t="s">
        <v>15</v>
      </c>
      <c r="W29" s="3"/>
      <c r="X29" s="3"/>
      <c r="Y29" s="3"/>
      <c r="Z29" s="3"/>
      <c r="AB29" t="s">
        <v>23</v>
      </c>
      <c r="AC29" s="3">
        <f>(AC28/3)*7/10</f>
        <v>11.251851851851853</v>
      </c>
      <c r="AD29" s="3">
        <f>(AD28*0.021)*12</f>
        <v>8.567146224</v>
      </c>
      <c r="AE29" s="3"/>
      <c r="AF29" s="3"/>
      <c r="AG29" s="3"/>
      <c r="AH29" s="30"/>
      <c r="AI29" s="30"/>
      <c r="BD29" t="s">
        <v>294</v>
      </c>
      <c r="BE29" s="3"/>
      <c r="BF29" s="3">
        <f>BF28*0.01</f>
        <v>6.2142499999999996E-2</v>
      </c>
      <c r="BG29" s="3"/>
      <c r="BH29" s="11">
        <v>0.11</v>
      </c>
      <c r="BQ29" s="26" t="s">
        <v>755</v>
      </c>
      <c r="BR29" s="28">
        <v>7.9000000000000001E-2</v>
      </c>
      <c r="BS29" s="38">
        <v>0</v>
      </c>
      <c r="BT29" s="15">
        <v>25</v>
      </c>
      <c r="BU29" s="40">
        <f t="shared" ref="BU29:BU51" si="14">ROUNDUP(BS29/BT29,0)</f>
        <v>0</v>
      </c>
      <c r="BV29" s="13">
        <v>9.75</v>
      </c>
      <c r="BW29" s="41">
        <f t="shared" ref="BW29:BW51" si="15">BU29*BV29</f>
        <v>0</v>
      </c>
    </row>
    <row r="30" spans="1:77" ht="15.6" x14ac:dyDescent="0.3">
      <c r="A30" t="s">
        <v>180</v>
      </c>
      <c r="B30" t="s">
        <v>17</v>
      </c>
      <c r="C30" s="3">
        <f>C28*0.715</f>
        <v>19.053039720000001</v>
      </c>
      <c r="D30" s="3"/>
      <c r="E30" t="s">
        <v>98</v>
      </c>
      <c r="F30" s="3">
        <f>C2*1.1</f>
        <v>21.907600000000002</v>
      </c>
      <c r="G30" s="3"/>
      <c r="H30" t="s">
        <v>173</v>
      </c>
      <c r="I30" s="3">
        <f>I28*0.87</f>
        <v>22.833043686835197</v>
      </c>
      <c r="J30" s="3"/>
      <c r="K30" t="s">
        <v>178</v>
      </c>
      <c r="L30" s="3"/>
      <c r="M30" s="3">
        <f>I2*0.4</f>
        <v>25.6</v>
      </c>
      <c r="N30" s="3"/>
      <c r="O30" s="3"/>
      <c r="P30" s="3" t="s">
        <v>683</v>
      </c>
      <c r="Q30" s="3">
        <f>(C2*0.917)*1.25</f>
        <v>22.828715000000003</v>
      </c>
      <c r="R30" s="3"/>
      <c r="S30" s="3" t="s">
        <v>706</v>
      </c>
      <c r="T30" s="3">
        <f>((T2/3+C2)/2)*7/6</f>
        <v>24.939444444444444</v>
      </c>
      <c r="U30" s="3"/>
      <c r="V30" t="s">
        <v>180</v>
      </c>
      <c r="W30" s="3"/>
      <c r="X30" s="3"/>
      <c r="Y30" s="3"/>
      <c r="Z30" s="3"/>
      <c r="AB30" t="s">
        <v>24</v>
      </c>
      <c r="AC30" s="3">
        <f>(AC28*0.714)*7/8</f>
        <v>30.126833333333334</v>
      </c>
      <c r="AD30" s="3">
        <f>Y3*1.39</f>
        <v>27.683239999999998</v>
      </c>
      <c r="AE30" s="3">
        <f>AE28*0.71</f>
        <v>25.991679999999995</v>
      </c>
      <c r="AF30" s="3">
        <f>AF28*(0.7+0.75)/2</f>
        <v>24.128</v>
      </c>
      <c r="AG30" s="3"/>
      <c r="AH30" s="30"/>
      <c r="AI30" s="30"/>
      <c r="BD30" t="s">
        <v>284</v>
      </c>
      <c r="BE30" s="3"/>
      <c r="BF30" s="3">
        <f>BF20*5/9</f>
        <v>5.3227777777777776</v>
      </c>
      <c r="BG30" s="3">
        <f>BE5*0.854</f>
        <v>4.2166249999999996</v>
      </c>
      <c r="BH30" s="11">
        <v>4.2</v>
      </c>
      <c r="BQ30" t="s">
        <v>734</v>
      </c>
      <c r="BR30" s="24">
        <v>9.4E-2</v>
      </c>
      <c r="BS30" s="38">
        <v>0</v>
      </c>
      <c r="BT30" s="15">
        <v>25</v>
      </c>
      <c r="BU30" s="40">
        <f t="shared" si="14"/>
        <v>0</v>
      </c>
      <c r="BV30" s="13">
        <v>9.75</v>
      </c>
      <c r="BW30" s="41">
        <f t="shared" si="15"/>
        <v>0</v>
      </c>
    </row>
    <row r="31" spans="1:77" ht="15.6" x14ac:dyDescent="0.3">
      <c r="A31" t="s">
        <v>19</v>
      </c>
      <c r="B31" t="s">
        <v>20</v>
      </c>
      <c r="C31" s="3">
        <f>(C30/3)*7/8</f>
        <v>5.5571365850000003</v>
      </c>
      <c r="D31" s="3"/>
      <c r="E31" t="s">
        <v>85</v>
      </c>
      <c r="F31" s="3">
        <f>(F30*0.022)*12</f>
        <v>5.7836064</v>
      </c>
      <c r="G31" s="3"/>
      <c r="I31" s="3"/>
      <c r="J31" s="3"/>
      <c r="L31" s="3"/>
      <c r="M31" s="3"/>
      <c r="N31" s="3"/>
      <c r="O31" s="3"/>
      <c r="P31" s="3" t="s">
        <v>684</v>
      </c>
      <c r="Q31" s="3">
        <f>(C2*0.917)*3/8</f>
        <v>6.8486145</v>
      </c>
      <c r="R31" s="3"/>
      <c r="S31" s="3" t="s">
        <v>702</v>
      </c>
      <c r="T31" s="3">
        <f>T30/3</f>
        <v>8.313148148148148</v>
      </c>
      <c r="U31" s="3"/>
      <c r="V31" t="s">
        <v>19</v>
      </c>
      <c r="W31" s="3"/>
      <c r="X31" s="3"/>
      <c r="Y31" s="3"/>
      <c r="Z31" s="3"/>
      <c r="AB31" t="s">
        <v>26</v>
      </c>
      <c r="AC31" s="3">
        <f>(AC30/3)*5/8</f>
        <v>6.2764236111111114</v>
      </c>
      <c r="AD31" s="3">
        <f>(AD30*0.018)*12</f>
        <v>5.9795798399999986</v>
      </c>
      <c r="AE31" s="3"/>
      <c r="AF31" s="3"/>
      <c r="AG31" s="3"/>
      <c r="AH31" s="30"/>
      <c r="AI31" s="30"/>
      <c r="BD31" t="s">
        <v>285</v>
      </c>
      <c r="BE31" s="3"/>
      <c r="BF31" s="3">
        <f>BF30*0.018</f>
        <v>9.5809999999999992E-2</v>
      </c>
      <c r="BG31" s="3"/>
      <c r="BH31" s="11">
        <v>0.1</v>
      </c>
      <c r="BQ31" t="s">
        <v>735</v>
      </c>
      <c r="BR31" s="24">
        <v>9.4E-2</v>
      </c>
      <c r="BS31" s="38">
        <v>0</v>
      </c>
      <c r="BT31" s="15">
        <v>25</v>
      </c>
      <c r="BU31" s="40">
        <f t="shared" si="14"/>
        <v>0</v>
      </c>
      <c r="BV31" s="13">
        <v>9.75</v>
      </c>
      <c r="BW31" s="41">
        <f t="shared" si="15"/>
        <v>0</v>
      </c>
    </row>
    <row r="32" spans="1:77" ht="15.6" x14ac:dyDescent="0.3">
      <c r="A32" t="s">
        <v>18</v>
      </c>
      <c r="B32" t="s">
        <v>21</v>
      </c>
      <c r="C32" s="3">
        <f>(C5*8/9)*0.875</f>
        <v>34.543195555555556</v>
      </c>
      <c r="D32" s="3"/>
      <c r="E32" t="s">
        <v>107</v>
      </c>
      <c r="F32" s="3">
        <f>C2*1.707</f>
        <v>33.996611999999999</v>
      </c>
      <c r="G32" s="3"/>
      <c r="H32" t="s">
        <v>170</v>
      </c>
      <c r="I32" s="3">
        <f>I2*0.572</f>
        <v>36.607999999999997</v>
      </c>
      <c r="J32" s="3"/>
      <c r="K32" t="s">
        <v>192</v>
      </c>
      <c r="L32" s="3">
        <f>I2*0.48</f>
        <v>30.72</v>
      </c>
      <c r="M32" s="3">
        <f>I2*(0.47+0.57)/2</f>
        <v>33.28</v>
      </c>
      <c r="N32" s="3">
        <f>I2*0.57</f>
        <v>36.479999999999997</v>
      </c>
      <c r="O32" s="3"/>
      <c r="P32" s="3" t="s">
        <v>676</v>
      </c>
      <c r="Q32" s="3">
        <f>C2*2</f>
        <v>39.832000000000001</v>
      </c>
      <c r="R32" s="3"/>
      <c r="S32" s="3" t="s">
        <v>698</v>
      </c>
      <c r="T32" s="3">
        <f>(T2+C2)*0.44</f>
        <v>38.908319999999996</v>
      </c>
      <c r="U32" s="3"/>
      <c r="V32" t="s">
        <v>18</v>
      </c>
      <c r="W32" s="3"/>
      <c r="X32" s="3"/>
      <c r="Y32" s="3"/>
      <c r="Z32" s="3"/>
      <c r="AB32" t="s">
        <v>32</v>
      </c>
      <c r="AC32" s="3"/>
      <c r="AD32" s="3"/>
      <c r="AE32" s="3"/>
      <c r="AF32" s="3"/>
      <c r="AG32" s="3"/>
      <c r="AH32" s="30"/>
      <c r="AI32" s="30"/>
      <c r="BD32" t="s">
        <v>286</v>
      </c>
      <c r="BE32" s="3"/>
      <c r="BF32" s="3">
        <f>BF30*4/7</f>
        <v>3.0415873015873016</v>
      </c>
      <c r="BG32" s="3">
        <f>BE5*0.512</f>
        <v>2.528</v>
      </c>
      <c r="BH32" s="11">
        <v>2.5</v>
      </c>
      <c r="BQ32" t="s">
        <v>736</v>
      </c>
      <c r="BR32" s="24">
        <v>0.125</v>
      </c>
      <c r="BS32" s="38">
        <v>0</v>
      </c>
      <c r="BT32" s="15">
        <v>25</v>
      </c>
      <c r="BU32" s="40">
        <f t="shared" si="14"/>
        <v>0</v>
      </c>
      <c r="BV32" s="13">
        <v>9.75</v>
      </c>
      <c r="BW32" s="41">
        <f t="shared" si="15"/>
        <v>0</v>
      </c>
    </row>
    <row r="33" spans="1:75" ht="15.6" x14ac:dyDescent="0.3">
      <c r="A33" t="s">
        <v>23</v>
      </c>
      <c r="B33" t="s">
        <v>22</v>
      </c>
      <c r="C33" s="3">
        <f>(C32/3)*7/10</f>
        <v>8.0600789629629634</v>
      </c>
      <c r="D33" s="3"/>
      <c r="E33" t="s">
        <v>109</v>
      </c>
      <c r="F33" s="3">
        <f>(F32*0.021)*12</f>
        <v>8.567146224</v>
      </c>
      <c r="G33" s="3"/>
      <c r="I33" s="3"/>
      <c r="J33" s="3"/>
      <c r="L33" s="3"/>
      <c r="M33" s="3"/>
      <c r="N33" s="3"/>
      <c r="O33" s="3"/>
      <c r="P33" s="3" t="s">
        <v>677</v>
      </c>
      <c r="Q33" s="3">
        <f>C2*2/5</f>
        <v>7.9664000000000001</v>
      </c>
      <c r="R33" s="3"/>
      <c r="S33" s="3" t="s">
        <v>700</v>
      </c>
      <c r="T33" s="3">
        <f>T32*3/14</f>
        <v>8.3374971428571421</v>
      </c>
      <c r="U33" s="3"/>
      <c r="V33" t="s">
        <v>23</v>
      </c>
      <c r="W33" s="3"/>
      <c r="X33" s="3"/>
      <c r="Y33" s="3"/>
      <c r="Z33" s="3"/>
      <c r="AB33" t="s">
        <v>31</v>
      </c>
      <c r="AC33" s="3"/>
      <c r="AD33" s="3"/>
      <c r="AE33" s="3"/>
      <c r="AF33" s="3"/>
      <c r="AG33" s="3"/>
      <c r="AH33" s="30"/>
      <c r="AI33" s="30"/>
      <c r="BD33" t="s">
        <v>287</v>
      </c>
      <c r="BE33" s="3"/>
      <c r="BF33" s="3">
        <f>BF32*0.018</f>
        <v>5.4748571428571424E-2</v>
      </c>
      <c r="BG33" s="3"/>
      <c r="BH33" s="11">
        <v>0.05</v>
      </c>
      <c r="BQ33" t="s">
        <v>737</v>
      </c>
      <c r="BR33" s="24">
        <v>0.125</v>
      </c>
      <c r="BS33" s="38">
        <v>0</v>
      </c>
      <c r="BT33" s="15">
        <v>25</v>
      </c>
      <c r="BU33" s="40">
        <f t="shared" si="14"/>
        <v>0</v>
      </c>
      <c r="BV33" s="13">
        <v>9.75</v>
      </c>
      <c r="BW33" s="41">
        <f t="shared" si="15"/>
        <v>0</v>
      </c>
    </row>
    <row r="34" spans="1:75" ht="15.6" x14ac:dyDescent="0.3">
      <c r="A34" t="s">
        <v>24</v>
      </c>
      <c r="B34" t="s">
        <v>25</v>
      </c>
      <c r="C34" s="3">
        <f>(C32*0.714)*7/8</f>
        <v>21.580861423333332</v>
      </c>
      <c r="D34" s="3"/>
      <c r="E34" t="s">
        <v>108</v>
      </c>
      <c r="F34" s="3">
        <f>C2*1.39</f>
        <v>27.683239999999998</v>
      </c>
      <c r="G34" s="3"/>
      <c r="H34" t="s">
        <v>171</v>
      </c>
      <c r="I34" s="3">
        <f>I32*0.71</f>
        <v>25.991679999999995</v>
      </c>
      <c r="J34" s="3"/>
      <c r="K34" t="s">
        <v>187</v>
      </c>
      <c r="L34" s="3">
        <f>M32*0.7</f>
        <v>23.295999999999999</v>
      </c>
      <c r="M34" s="3">
        <f>M32*(0.7+0.75)/2</f>
        <v>24.128</v>
      </c>
      <c r="N34" s="3">
        <f>M32*0.75</f>
        <v>24.96</v>
      </c>
      <c r="O34" s="3"/>
      <c r="P34" s="3" t="s">
        <v>678</v>
      </c>
      <c r="Q34" s="3">
        <f>C2*1.5</f>
        <v>29.874000000000002</v>
      </c>
      <c r="R34" s="3"/>
      <c r="S34" s="3" t="s">
        <v>699</v>
      </c>
      <c r="T34" s="3">
        <f>T32*3/4</f>
        <v>29.181239999999995</v>
      </c>
      <c r="U34" s="3"/>
      <c r="V34" t="s">
        <v>24</v>
      </c>
      <c r="W34" s="3"/>
      <c r="X34" s="3"/>
      <c r="Y34" s="3"/>
      <c r="Z34" s="3"/>
      <c r="AB34" t="s">
        <v>34</v>
      </c>
      <c r="AC34" s="3"/>
      <c r="AD34" s="3"/>
      <c r="AE34" s="3">
        <f>AE38*0.73</f>
        <v>17.333120000000001</v>
      </c>
      <c r="AF34" s="3">
        <f>AF38*(0.73+1)/2</f>
        <v>18.257728</v>
      </c>
      <c r="AG34" s="3"/>
      <c r="AH34" s="30"/>
      <c r="AI34" s="30"/>
      <c r="BD34" t="s">
        <v>288</v>
      </c>
      <c r="BE34" s="3"/>
      <c r="BF34" s="3">
        <f>BF26*5/9</f>
        <v>6.5138888888888893</v>
      </c>
      <c r="BG34" s="3"/>
      <c r="BH34" s="11">
        <v>4.7</v>
      </c>
      <c r="BQ34" t="s">
        <v>738</v>
      </c>
      <c r="BR34" s="24">
        <v>0.125</v>
      </c>
      <c r="BS34" s="38">
        <v>0</v>
      </c>
      <c r="BT34" s="15">
        <v>12</v>
      </c>
      <c r="BU34" s="40">
        <f t="shared" si="14"/>
        <v>0</v>
      </c>
      <c r="BV34" s="13">
        <v>6.5</v>
      </c>
      <c r="BW34" s="41">
        <f t="shared" si="15"/>
        <v>0</v>
      </c>
    </row>
    <row r="35" spans="1:75" ht="15.6" x14ac:dyDescent="0.3">
      <c r="A35" t="s">
        <v>26</v>
      </c>
      <c r="B35" t="s">
        <v>27</v>
      </c>
      <c r="C35" s="3">
        <f>(C34/3)*5/8</f>
        <v>4.4960127965277774</v>
      </c>
      <c r="D35" s="3"/>
      <c r="E35" t="s">
        <v>110</v>
      </c>
      <c r="F35" s="3">
        <f>(F34*0.018)*12</f>
        <v>5.9795798399999986</v>
      </c>
      <c r="G35" s="3"/>
      <c r="I35" s="3"/>
      <c r="J35" s="3"/>
      <c r="L35" s="3"/>
      <c r="M35" s="3"/>
      <c r="N35" s="3"/>
      <c r="O35" s="3"/>
      <c r="P35" s="3" t="s">
        <v>679</v>
      </c>
      <c r="Q35" s="3">
        <f>C2*3/8</f>
        <v>7.4685000000000006</v>
      </c>
      <c r="R35" s="3"/>
      <c r="S35" s="3" t="s">
        <v>700</v>
      </c>
      <c r="T35" s="3">
        <f>T34*3/14</f>
        <v>6.2531228571428557</v>
      </c>
      <c r="U35" s="3"/>
      <c r="V35" t="s">
        <v>26</v>
      </c>
      <c r="W35" s="3"/>
      <c r="X35" s="3"/>
      <c r="Y35" s="3"/>
      <c r="Z35" s="3"/>
      <c r="AB35" t="s">
        <v>35</v>
      </c>
      <c r="AC35" s="3"/>
      <c r="AD35" s="3"/>
      <c r="AE35" s="3"/>
      <c r="AF35" s="3"/>
      <c r="AG35" s="3"/>
      <c r="AH35" s="30"/>
      <c r="AI35" s="30"/>
      <c r="BD35" t="s">
        <v>289</v>
      </c>
      <c r="BE35" s="3"/>
      <c r="BF35" s="3">
        <f>BF34*0.018</f>
        <v>0.11724999999999999</v>
      </c>
      <c r="BG35" s="3"/>
      <c r="BH35" s="34">
        <f>BH34*0.018</f>
        <v>8.4599999999999995E-2</v>
      </c>
      <c r="BQ35" t="s">
        <v>739</v>
      </c>
      <c r="BR35" s="24">
        <v>0.156</v>
      </c>
      <c r="BS35" s="38">
        <v>0</v>
      </c>
      <c r="BT35" s="15">
        <v>25</v>
      </c>
      <c r="BU35" s="40">
        <f t="shared" si="14"/>
        <v>0</v>
      </c>
      <c r="BV35" s="13">
        <v>9.75</v>
      </c>
      <c r="BW35" s="41">
        <f t="shared" si="15"/>
        <v>0</v>
      </c>
    </row>
    <row r="36" spans="1:75" ht="15.6" x14ac:dyDescent="0.3">
      <c r="A36" t="s">
        <v>32</v>
      </c>
      <c r="C36" s="3"/>
      <c r="D36" s="3"/>
      <c r="F36" s="3"/>
      <c r="G36" s="3"/>
      <c r="I36" s="3"/>
      <c r="J36" s="3"/>
      <c r="L36" s="3"/>
      <c r="M36" s="3"/>
      <c r="N36" s="3"/>
      <c r="O36" s="3"/>
      <c r="P36" s="3" t="s">
        <v>680</v>
      </c>
      <c r="Q36" s="3"/>
      <c r="R36" s="3"/>
      <c r="S36" s="3"/>
      <c r="T36" s="3"/>
      <c r="U36" s="3"/>
      <c r="V36" t="s">
        <v>32</v>
      </c>
      <c r="W36" s="3"/>
      <c r="X36" s="3"/>
      <c r="Y36" s="3"/>
      <c r="Z36" s="3"/>
      <c r="AB36" t="s">
        <v>43</v>
      </c>
      <c r="AC36" s="3">
        <f>AC30*3/5</f>
        <v>18.0761</v>
      </c>
      <c r="AD36" s="3">
        <f>Y3*1.415</f>
        <v>28.181140000000003</v>
      </c>
      <c r="AE36" s="3">
        <f>Y4*0.7</f>
        <v>44.8</v>
      </c>
      <c r="AF36" s="3">
        <f>Y4*(0.66+0.7)/2</f>
        <v>43.519999999999996</v>
      </c>
      <c r="AG36" s="3"/>
      <c r="AH36" s="30"/>
      <c r="AI36" s="30"/>
      <c r="AP36" s="1" t="s">
        <v>246</v>
      </c>
      <c r="BD36" t="s">
        <v>290</v>
      </c>
      <c r="BF36" s="3">
        <f>BF34*4/7</f>
        <v>3.7222222222222223</v>
      </c>
      <c r="BH36" s="11">
        <v>2.5</v>
      </c>
      <c r="BQ36" t="s">
        <v>740</v>
      </c>
      <c r="BR36" s="24">
        <v>0.156</v>
      </c>
      <c r="BS36" s="38">
        <v>0</v>
      </c>
      <c r="BT36" s="15">
        <v>25</v>
      </c>
      <c r="BU36" s="40">
        <f t="shared" si="14"/>
        <v>0</v>
      </c>
      <c r="BV36" s="13">
        <v>9.75</v>
      </c>
      <c r="BW36" s="41">
        <f t="shared" si="15"/>
        <v>0</v>
      </c>
    </row>
    <row r="37" spans="1:75" ht="15.6" x14ac:dyDescent="0.3">
      <c r="A37" t="s">
        <v>31</v>
      </c>
      <c r="C37" s="3"/>
      <c r="D37" s="3"/>
      <c r="F37" s="3"/>
      <c r="G37" s="3"/>
      <c r="I37" s="3"/>
      <c r="J37" s="3"/>
      <c r="L37" s="3"/>
      <c r="M37" s="3"/>
      <c r="N37" s="3"/>
      <c r="O37" s="3"/>
      <c r="P37" s="3" t="s">
        <v>679</v>
      </c>
      <c r="Q37" s="3">
        <f>C2*3/8</f>
        <v>7.4685000000000006</v>
      </c>
      <c r="R37" s="3"/>
      <c r="S37" s="3"/>
      <c r="T37" s="3"/>
      <c r="U37" s="3"/>
      <c r="V37" t="s">
        <v>31</v>
      </c>
      <c r="W37" s="3"/>
      <c r="X37" s="3"/>
      <c r="Y37" s="3"/>
      <c r="Z37" s="3"/>
      <c r="AB37" t="s">
        <v>36</v>
      </c>
      <c r="AC37" s="3">
        <f>(AC36/3)*5/8</f>
        <v>3.7658541666666667</v>
      </c>
      <c r="AD37" s="3">
        <f>(AD36*0.013) * 12</f>
        <v>4.3962578400000005</v>
      </c>
      <c r="AE37" s="3"/>
      <c r="AF37" s="3"/>
      <c r="AG37" s="3"/>
      <c r="AH37" s="30"/>
      <c r="AI37" s="30"/>
      <c r="AP37" t="s">
        <v>767</v>
      </c>
      <c r="AQ37" s="33" t="s">
        <v>233</v>
      </c>
      <c r="AR37" s="33">
        <v>164</v>
      </c>
      <c r="AS37" s="33">
        <v>166</v>
      </c>
      <c r="AT37" s="33">
        <v>137</v>
      </c>
      <c r="AU37" s="33" t="s">
        <v>239</v>
      </c>
      <c r="AV37" s="33" t="s">
        <v>241</v>
      </c>
      <c r="BD37" t="s">
        <v>291</v>
      </c>
      <c r="BF37">
        <f>BF36*0.018</f>
        <v>6.699999999999999E-2</v>
      </c>
      <c r="BH37" s="34">
        <f>BH36*0.018</f>
        <v>4.4999999999999998E-2</v>
      </c>
      <c r="BQ37" t="s">
        <v>741</v>
      </c>
      <c r="BR37" s="24">
        <v>0.188</v>
      </c>
      <c r="BS37" s="38">
        <v>0</v>
      </c>
      <c r="BT37" s="15">
        <v>25</v>
      </c>
      <c r="BU37" s="40">
        <f t="shared" si="14"/>
        <v>0</v>
      </c>
      <c r="BV37" s="13">
        <v>9.75</v>
      </c>
      <c r="BW37" s="41">
        <f t="shared" si="15"/>
        <v>0</v>
      </c>
    </row>
    <row r="38" spans="1:75" ht="15.6" x14ac:dyDescent="0.3">
      <c r="A38" t="s">
        <v>34</v>
      </c>
      <c r="C38" s="3"/>
      <c r="D38" s="3"/>
      <c r="F38" s="3"/>
      <c r="G38" s="3"/>
      <c r="H38" t="s">
        <v>175</v>
      </c>
      <c r="I38" s="3">
        <f>I42*0.73</f>
        <v>17.333120000000001</v>
      </c>
      <c r="J38" s="3"/>
      <c r="K38" t="s">
        <v>186</v>
      </c>
      <c r="L38" s="3">
        <f>M42*0.73</f>
        <v>15.408255999999998</v>
      </c>
      <c r="M38" s="3">
        <f>M42*(0.73+1)/2</f>
        <v>18.257728</v>
      </c>
      <c r="N38" s="3">
        <f>M42</f>
        <v>21.107199999999999</v>
      </c>
      <c r="O38" s="3"/>
      <c r="P38" s="3" t="s">
        <v>680</v>
      </c>
      <c r="Q38" s="3"/>
      <c r="R38" s="3"/>
      <c r="S38" s="3"/>
      <c r="T38" s="3"/>
      <c r="U38" s="3"/>
      <c r="V38" t="s">
        <v>34</v>
      </c>
      <c r="W38" s="3"/>
      <c r="X38" s="3"/>
      <c r="Y38" s="3"/>
      <c r="Z38" s="3"/>
      <c r="AB38" t="s">
        <v>37</v>
      </c>
      <c r="AC38" s="3">
        <f>AC36*5/8</f>
        <v>11.2975625</v>
      </c>
      <c r="AD38" s="3">
        <f>Y3*1.158</f>
        <v>23.062728</v>
      </c>
      <c r="AE38" s="3">
        <f>AE36*0.53</f>
        <v>23.744</v>
      </c>
      <c r="AF38" s="3">
        <f>AF36*(0.44+0.53)/2</f>
        <v>21.107199999999999</v>
      </c>
      <c r="AG38" s="3"/>
      <c r="AH38" s="30"/>
      <c r="AI38" s="30"/>
      <c r="AP38" t="s">
        <v>234</v>
      </c>
      <c r="AQ38">
        <v>73.97</v>
      </c>
      <c r="AR38">
        <v>78.75</v>
      </c>
      <c r="AS38">
        <v>73.67</v>
      </c>
      <c r="AT38">
        <v>60</v>
      </c>
      <c r="AU38">
        <v>58.39</v>
      </c>
      <c r="AV38">
        <v>57.08</v>
      </c>
      <c r="BM38" s="1" t="s">
        <v>768</v>
      </c>
      <c r="BQ38" t="s">
        <v>742</v>
      </c>
      <c r="BR38" s="24">
        <v>0.188</v>
      </c>
      <c r="BS38" s="38">
        <v>0</v>
      </c>
      <c r="BT38" s="15">
        <v>25</v>
      </c>
      <c r="BU38" s="40">
        <f t="shared" si="14"/>
        <v>0</v>
      </c>
      <c r="BV38" s="13">
        <v>9.75</v>
      </c>
      <c r="BW38" s="41">
        <f t="shared" si="15"/>
        <v>0</v>
      </c>
    </row>
    <row r="39" spans="1:75" ht="15.6" x14ac:dyDescent="0.3">
      <c r="A39" t="s">
        <v>35</v>
      </c>
      <c r="C39" s="3"/>
      <c r="D39" s="3"/>
      <c r="F39" s="3"/>
      <c r="G39" s="3"/>
      <c r="I39" s="3"/>
      <c r="J39" s="3"/>
      <c r="L39" s="3"/>
      <c r="M39" s="3"/>
      <c r="N39" s="3"/>
      <c r="O39" s="3"/>
      <c r="P39" s="3"/>
      <c r="Q39" s="3"/>
      <c r="R39" s="3"/>
      <c r="S39" s="3"/>
      <c r="T39" s="3"/>
      <c r="U39" s="3"/>
      <c r="V39" t="s">
        <v>35</v>
      </c>
      <c r="W39" s="3"/>
      <c r="X39" s="3"/>
      <c r="Y39" s="3"/>
      <c r="Z39" s="3"/>
      <c r="AB39" t="s">
        <v>38</v>
      </c>
      <c r="AC39" s="3">
        <f>(AC38/3)*5/8</f>
        <v>2.3536588541666665</v>
      </c>
      <c r="AD39" s="3">
        <f>(AD38*0.01) *12</f>
        <v>2.7675273599999999</v>
      </c>
      <c r="AH39" s="30"/>
      <c r="AI39" s="30"/>
      <c r="AP39" t="s">
        <v>235</v>
      </c>
      <c r="AQ39">
        <v>71.510000000000005</v>
      </c>
      <c r="AR39">
        <v>75.75</v>
      </c>
      <c r="AS39">
        <v>67.67</v>
      </c>
      <c r="AT39">
        <v>58.42</v>
      </c>
      <c r="AU39">
        <v>56.42</v>
      </c>
      <c r="AV39">
        <v>55.11</v>
      </c>
      <c r="BD39" s="1" t="s">
        <v>277</v>
      </c>
      <c r="BF39" s="1" t="s">
        <v>630</v>
      </c>
      <c r="BG39" s="1"/>
      <c r="BH39" s="14" t="s">
        <v>527</v>
      </c>
      <c r="BI39" s="14" t="s">
        <v>769</v>
      </c>
      <c r="BJ39" s="14" t="s">
        <v>292</v>
      </c>
      <c r="BK39" s="14" t="s">
        <v>299</v>
      </c>
      <c r="BL39" s="14"/>
      <c r="BM39" s="14" t="s">
        <v>729</v>
      </c>
      <c r="BN39" s="14" t="s">
        <v>729</v>
      </c>
      <c r="BO39" s="14" t="s">
        <v>298</v>
      </c>
      <c r="BP39" s="14" t="s">
        <v>301</v>
      </c>
      <c r="BQ39" t="s">
        <v>743</v>
      </c>
      <c r="BR39" s="24">
        <v>0.25</v>
      </c>
      <c r="BS39" s="38">
        <v>0</v>
      </c>
      <c r="BT39" s="15">
        <v>25</v>
      </c>
      <c r="BU39" s="40">
        <f t="shared" si="14"/>
        <v>0</v>
      </c>
      <c r="BV39" s="13">
        <v>9.75</v>
      </c>
      <c r="BW39" s="41">
        <f t="shared" si="15"/>
        <v>0</v>
      </c>
    </row>
    <row r="40" spans="1:75" ht="15.6" x14ac:dyDescent="0.3">
      <c r="A40" t="s">
        <v>43</v>
      </c>
      <c r="B40" t="s">
        <v>41</v>
      </c>
      <c r="C40" s="3">
        <f>C34*3/5</f>
        <v>12.948516853999999</v>
      </c>
      <c r="D40" s="3"/>
      <c r="E40" t="s">
        <v>111</v>
      </c>
      <c r="F40" s="3">
        <f>C2*1.415</f>
        <v>28.181140000000003</v>
      </c>
      <c r="G40" s="3"/>
      <c r="H40" t="s">
        <v>172</v>
      </c>
      <c r="I40" s="3">
        <f>I2*0.7</f>
        <v>44.8</v>
      </c>
      <c r="J40" s="3"/>
      <c r="K40" t="s">
        <v>184</v>
      </c>
      <c r="L40" s="3">
        <f>I2*0.66</f>
        <v>42.24</v>
      </c>
      <c r="M40" s="3">
        <f>I2*(0.66+0.7)/2</f>
        <v>43.519999999999996</v>
      </c>
      <c r="N40" s="3">
        <f>I2*0.7</f>
        <v>44.8</v>
      </c>
      <c r="O40" s="3"/>
      <c r="P40" s="3" t="s">
        <v>666</v>
      </c>
      <c r="Q40" s="3">
        <f>C2*1.75</f>
        <v>34.853000000000002</v>
      </c>
      <c r="R40" s="3"/>
      <c r="S40" s="3" t="s">
        <v>705</v>
      </c>
      <c r="T40" s="3">
        <f>(7.19*48/12) * 1.5</f>
        <v>43.14</v>
      </c>
      <c r="U40" s="3"/>
      <c r="V40" t="s">
        <v>43</v>
      </c>
      <c r="W40" s="3"/>
      <c r="X40" s="3"/>
      <c r="Y40" s="3"/>
      <c r="Z40" s="3"/>
      <c r="AB40" t="s">
        <v>116</v>
      </c>
      <c r="AC40" s="3">
        <f>AC28*5/9</f>
        <v>26.790123456790127</v>
      </c>
      <c r="AD40" s="3">
        <f>Y3*0.854</f>
        <v>17.008264</v>
      </c>
      <c r="AH40" s="30"/>
      <c r="AI40" s="30"/>
      <c r="AP40" t="s">
        <v>236</v>
      </c>
      <c r="AQ40">
        <v>28.21</v>
      </c>
      <c r="AR40">
        <v>29</v>
      </c>
      <c r="AS40">
        <v>31.5</v>
      </c>
      <c r="AT40">
        <v>31</v>
      </c>
      <c r="AU40" s="8">
        <v>14.1</v>
      </c>
      <c r="AV40" s="8">
        <v>11.15</v>
      </c>
      <c r="BD40" s="1" t="s">
        <v>626</v>
      </c>
      <c r="BE40" s="1" t="s">
        <v>625</v>
      </c>
      <c r="BF40" s="1" t="s">
        <v>631</v>
      </c>
      <c r="BG40" s="1" t="s">
        <v>295</v>
      </c>
      <c r="BH40" s="14" t="s">
        <v>295</v>
      </c>
      <c r="BI40" s="14" t="s">
        <v>305</v>
      </c>
      <c r="BJ40" s="14" t="s">
        <v>296</v>
      </c>
      <c r="BK40" s="14" t="s">
        <v>300</v>
      </c>
      <c r="BL40" s="19" t="s">
        <v>724</v>
      </c>
      <c r="BM40" s="19" t="s">
        <v>297</v>
      </c>
      <c r="BN40" s="19" t="s">
        <v>730</v>
      </c>
      <c r="BO40" s="14" t="s">
        <v>297</v>
      </c>
      <c r="BP40" s="14" t="s">
        <v>297</v>
      </c>
      <c r="BQ40" t="s">
        <v>744</v>
      </c>
      <c r="BR40" s="24">
        <v>0.25</v>
      </c>
      <c r="BS40" s="38">
        <v>0</v>
      </c>
      <c r="BT40" s="15">
        <v>25</v>
      </c>
      <c r="BU40" s="40">
        <f t="shared" si="14"/>
        <v>0</v>
      </c>
      <c r="BV40" s="13">
        <v>9.75</v>
      </c>
      <c r="BW40" s="41">
        <f t="shared" si="15"/>
        <v>0</v>
      </c>
    </row>
    <row r="41" spans="1:75" ht="15.6" x14ac:dyDescent="0.3">
      <c r="A41" t="s">
        <v>36</v>
      </c>
      <c r="B41" t="s">
        <v>27</v>
      </c>
      <c r="C41" s="3">
        <f>(C40/3)*5/8</f>
        <v>2.6976076779166664</v>
      </c>
      <c r="D41" s="3"/>
      <c r="E41" t="s">
        <v>120</v>
      </c>
      <c r="F41" s="3">
        <f>(F40*0.013) * 12</f>
        <v>4.3962578400000005</v>
      </c>
      <c r="G41" s="3"/>
      <c r="I41" s="3"/>
      <c r="J41" s="3"/>
      <c r="L41" s="3"/>
      <c r="M41" s="3"/>
      <c r="N41" s="3"/>
      <c r="O41" s="3"/>
      <c r="P41" s="3" t="s">
        <v>667</v>
      </c>
      <c r="Q41" s="3">
        <f>C2/7.0625</f>
        <v>2.8199646017699114</v>
      </c>
      <c r="R41" s="3"/>
      <c r="S41" s="3" t="s">
        <v>703</v>
      </c>
      <c r="T41" s="3">
        <f>T40/4.5</f>
        <v>9.586666666666666</v>
      </c>
      <c r="U41" s="3"/>
      <c r="V41" t="s">
        <v>36</v>
      </c>
      <c r="W41" s="3"/>
      <c r="X41" s="3"/>
      <c r="Y41" s="3"/>
      <c r="Z41" s="3"/>
      <c r="AB41" t="s">
        <v>117</v>
      </c>
      <c r="AC41" s="3">
        <f>AC40/5</f>
        <v>5.3580246913580254</v>
      </c>
      <c r="AD41" s="3">
        <f>(AD40*0.018)*12</f>
        <v>3.6737850239999998</v>
      </c>
      <c r="AH41" s="30"/>
      <c r="AI41" s="30"/>
      <c r="AP41" t="s">
        <v>244</v>
      </c>
      <c r="AQ41" s="9">
        <f t="shared" ref="AQ41:AV41" si="16">AQ40/AQ38</f>
        <v>0.38137082601054484</v>
      </c>
      <c r="AR41" s="9">
        <f t="shared" si="16"/>
        <v>0.36825396825396828</v>
      </c>
      <c r="AS41" s="9">
        <f t="shared" si="16"/>
        <v>0.42758246233202118</v>
      </c>
      <c r="AT41" s="9">
        <f t="shared" si="16"/>
        <v>0.51666666666666672</v>
      </c>
      <c r="AU41" s="8">
        <f t="shared" si="16"/>
        <v>0.24147970542901182</v>
      </c>
      <c r="AV41" s="8">
        <f t="shared" si="16"/>
        <v>0.19533987386124738</v>
      </c>
      <c r="BD41" t="s">
        <v>528</v>
      </c>
      <c r="BE41" t="s">
        <v>49</v>
      </c>
      <c r="BF41" s="12">
        <f>BH9*0.5</f>
        <v>0.16</v>
      </c>
      <c r="BG41" s="12">
        <f>BF41/3.14159</f>
        <v>5.0929624807820248E-2</v>
      </c>
      <c r="BH41" s="11">
        <v>5.3999999999999999E-2</v>
      </c>
      <c r="BI41" s="11"/>
      <c r="BJ41" s="38">
        <v>0</v>
      </c>
      <c r="BK41" s="12">
        <f>BH41*12.6</f>
        <v>0.6804</v>
      </c>
      <c r="BL41" s="22">
        <f>BK41/0.03125</f>
        <v>21.7728</v>
      </c>
      <c r="BM41" s="35" t="s">
        <v>775</v>
      </c>
      <c r="BN41" s="21"/>
      <c r="BO41" s="38">
        <v>0</v>
      </c>
      <c r="BP41" s="38">
        <v>0</v>
      </c>
      <c r="BQ41" t="s">
        <v>745</v>
      </c>
      <c r="BR41" s="24">
        <v>0.25</v>
      </c>
      <c r="BS41" s="38">
        <v>0</v>
      </c>
      <c r="BT41" s="15">
        <v>12</v>
      </c>
      <c r="BU41" s="40">
        <f t="shared" si="14"/>
        <v>0</v>
      </c>
      <c r="BV41" s="13">
        <v>6.5</v>
      </c>
      <c r="BW41" s="41">
        <f t="shared" si="15"/>
        <v>0</v>
      </c>
    </row>
    <row r="42" spans="1:75" ht="15.6" x14ac:dyDescent="0.3">
      <c r="A42" t="s">
        <v>37</v>
      </c>
      <c r="B42" t="s">
        <v>42</v>
      </c>
      <c r="C42" s="3">
        <f>C40*5/8</f>
        <v>8.0928230337499993</v>
      </c>
      <c r="D42" s="3"/>
      <c r="E42" t="s">
        <v>112</v>
      </c>
      <c r="F42" s="3">
        <f>C2*1.158</f>
        <v>23.062728</v>
      </c>
      <c r="G42" s="3"/>
      <c r="H42" t="s">
        <v>174</v>
      </c>
      <c r="I42" s="3">
        <f>I40*0.53</f>
        <v>23.744</v>
      </c>
      <c r="J42" s="3"/>
      <c r="K42" t="s">
        <v>185</v>
      </c>
      <c r="L42" s="3">
        <f>M40*0.44</f>
        <v>19.148799999999998</v>
      </c>
      <c r="M42" s="3">
        <f>M40*(0.44+0.53)/2</f>
        <v>21.107199999999999</v>
      </c>
      <c r="N42" s="3">
        <f>M40*0.53</f>
        <v>23.0656</v>
      </c>
      <c r="O42" s="3"/>
      <c r="P42" s="3" t="s">
        <v>93</v>
      </c>
      <c r="Q42" s="3">
        <f>C2*1.25</f>
        <v>24.895</v>
      </c>
      <c r="R42" s="3"/>
      <c r="S42" s="3" t="s">
        <v>704</v>
      </c>
      <c r="T42" s="3">
        <f>T40*2/3</f>
        <v>28.76</v>
      </c>
      <c r="U42" s="3"/>
      <c r="V42" t="s">
        <v>37</v>
      </c>
      <c r="W42" s="3"/>
      <c r="X42" s="3"/>
      <c r="Y42" s="3"/>
      <c r="Z42" s="3"/>
      <c r="AB42" t="s">
        <v>118</v>
      </c>
      <c r="AC42" s="3">
        <f>AC40*4/7</f>
        <v>15.308641975308644</v>
      </c>
      <c r="AD42" s="3">
        <f>Y3*0.512</f>
        <v>10.196992</v>
      </c>
      <c r="AH42" s="30"/>
      <c r="AI42" s="30"/>
      <c r="AP42" t="s">
        <v>245</v>
      </c>
      <c r="AQ42" s="9">
        <f t="shared" ref="AQ42:AV42" si="17">AQ40/AQ39</f>
        <v>0.39449028107956929</v>
      </c>
      <c r="AR42" s="9">
        <f t="shared" si="17"/>
        <v>0.38283828382838286</v>
      </c>
      <c r="AS42" s="9">
        <f t="shared" si="17"/>
        <v>0.46549431062509233</v>
      </c>
      <c r="AT42" s="9">
        <f t="shared" si="17"/>
        <v>0.53064019171516608</v>
      </c>
      <c r="AU42" s="8">
        <f t="shared" si="17"/>
        <v>0.24991137894363699</v>
      </c>
      <c r="AV42" s="8">
        <f t="shared" si="17"/>
        <v>0.20232262747232807</v>
      </c>
      <c r="BD42" t="s">
        <v>529</v>
      </c>
      <c r="BE42" t="s">
        <v>49</v>
      </c>
      <c r="BF42" s="12">
        <f>BH11*0.5</f>
        <v>0.17499999999999999</v>
      </c>
      <c r="BG42" s="12">
        <f t="shared" ref="BG42:BG63" si="18">BF42/3.14159</f>
        <v>5.5704277133553387E-2</v>
      </c>
      <c r="BH42" s="11">
        <v>5.3999999999999999E-2</v>
      </c>
      <c r="BI42" s="11"/>
      <c r="BJ42" s="38">
        <v>0</v>
      </c>
      <c r="BK42" s="12">
        <f t="shared" ref="BK42:BK63" si="19">BH42*12.6</f>
        <v>0.6804</v>
      </c>
      <c r="BL42" s="22">
        <f t="shared" ref="BL42:BL63" si="20">BK42/0.03125</f>
        <v>21.7728</v>
      </c>
      <c r="BM42" s="35" t="s">
        <v>775</v>
      </c>
      <c r="BN42" s="21"/>
      <c r="BO42" s="38">
        <v>0</v>
      </c>
      <c r="BP42" s="38">
        <v>0</v>
      </c>
      <c r="BQ42" t="s">
        <v>752</v>
      </c>
      <c r="BR42" s="24">
        <v>0.28100000000000003</v>
      </c>
      <c r="BS42" s="38">
        <v>0</v>
      </c>
      <c r="BT42" s="15">
        <v>6</v>
      </c>
      <c r="BU42" s="40">
        <f t="shared" si="14"/>
        <v>0</v>
      </c>
      <c r="BV42" s="13">
        <v>4.5</v>
      </c>
      <c r="BW42" s="41">
        <f t="shared" si="15"/>
        <v>0</v>
      </c>
    </row>
    <row r="43" spans="1:75" ht="15.6" x14ac:dyDescent="0.3">
      <c r="A43" t="s">
        <v>38</v>
      </c>
      <c r="B43" t="s">
        <v>27</v>
      </c>
      <c r="C43" s="3">
        <f>(C42/3)*5/8</f>
        <v>1.6860047986979165</v>
      </c>
      <c r="D43" s="3"/>
      <c r="E43" t="s">
        <v>121</v>
      </c>
      <c r="F43" s="3">
        <f>(F42*0.01) *12</f>
        <v>2.7675273599999999</v>
      </c>
      <c r="G43" s="3"/>
      <c r="I43" s="3"/>
      <c r="J43" s="3"/>
      <c r="L43" s="3"/>
      <c r="M43" s="3"/>
      <c r="N43" s="3"/>
      <c r="O43" s="3"/>
      <c r="P43" s="3" t="s">
        <v>668</v>
      </c>
      <c r="Q43" s="3">
        <f>Q41*2/3</f>
        <v>1.8799764011799409</v>
      </c>
      <c r="R43" s="3"/>
      <c r="S43" s="3"/>
      <c r="T43" s="3"/>
      <c r="U43" s="3"/>
      <c r="V43" t="s">
        <v>38</v>
      </c>
      <c r="W43" s="3"/>
      <c r="X43" s="3"/>
      <c r="Y43" s="3"/>
      <c r="Z43" s="3"/>
      <c r="AB43" t="s">
        <v>119</v>
      </c>
      <c r="AC43" s="3">
        <f>AC42/5</f>
        <v>3.0617283950617287</v>
      </c>
      <c r="AD43" s="3"/>
      <c r="AH43" s="30"/>
      <c r="AI43" s="30"/>
      <c r="AJ43" s="44" t="s">
        <v>784</v>
      </c>
      <c r="BD43" t="s">
        <v>530</v>
      </c>
      <c r="BE43" t="s">
        <v>49</v>
      </c>
      <c r="BF43" s="12">
        <f>BH9*0.5</f>
        <v>0.16</v>
      </c>
      <c r="BG43" s="12">
        <f t="shared" si="18"/>
        <v>5.0929624807820248E-2</v>
      </c>
      <c r="BH43" s="11">
        <v>5.3999999999999999E-2</v>
      </c>
      <c r="BI43" s="11"/>
      <c r="BJ43" s="38">
        <v>0</v>
      </c>
      <c r="BK43" s="12">
        <f t="shared" si="19"/>
        <v>0.6804</v>
      </c>
      <c r="BL43" s="22">
        <f t="shared" si="20"/>
        <v>21.7728</v>
      </c>
      <c r="BM43" s="35" t="s">
        <v>775</v>
      </c>
      <c r="BN43" s="21"/>
      <c r="BO43" s="38">
        <v>0</v>
      </c>
      <c r="BP43" s="38">
        <v>0</v>
      </c>
      <c r="BQ43" t="s">
        <v>753</v>
      </c>
      <c r="BR43" s="24">
        <v>0.28100000000000003</v>
      </c>
      <c r="BS43" s="38">
        <v>0</v>
      </c>
      <c r="BT43" s="15">
        <v>6</v>
      </c>
      <c r="BU43" s="40">
        <f t="shared" si="14"/>
        <v>0</v>
      </c>
      <c r="BV43" s="13">
        <v>4.5</v>
      </c>
      <c r="BW43" s="41">
        <f t="shared" si="15"/>
        <v>0</v>
      </c>
    </row>
    <row r="44" spans="1:75" ht="15.6" x14ac:dyDescent="0.3">
      <c r="A44" t="s">
        <v>116</v>
      </c>
      <c r="B44" t="s">
        <v>115</v>
      </c>
      <c r="C44" s="3">
        <f>C32*5/9</f>
        <v>19.190664197530864</v>
      </c>
      <c r="D44" s="3"/>
      <c r="E44" t="s">
        <v>113</v>
      </c>
      <c r="F44" s="3">
        <f>C2*0.854</f>
        <v>17.008264</v>
      </c>
      <c r="G44" s="3"/>
      <c r="H44" t="s">
        <v>83</v>
      </c>
      <c r="I44" s="3"/>
      <c r="J44" s="3"/>
      <c r="L44" s="3"/>
      <c r="M44" s="3"/>
      <c r="N44" s="3"/>
      <c r="O44" s="3"/>
      <c r="P44" s="3"/>
      <c r="Q44" s="3"/>
      <c r="R44" s="3"/>
      <c r="S44" s="3"/>
      <c r="T44" s="3"/>
      <c r="U44" s="3"/>
      <c r="V44" t="s">
        <v>116</v>
      </c>
      <c r="W44" s="3"/>
      <c r="X44" s="3"/>
      <c r="Y44" s="3"/>
      <c r="Z44" s="3"/>
      <c r="AB44" t="s">
        <v>44</v>
      </c>
      <c r="AC44" s="3"/>
      <c r="AD44" s="3"/>
      <c r="AH44" s="30"/>
      <c r="AI44" s="30"/>
      <c r="AJ44" s="32" t="s">
        <v>780</v>
      </c>
      <c r="AP44" s="1" t="s">
        <v>252</v>
      </c>
      <c r="BD44" t="s">
        <v>531</v>
      </c>
      <c r="BE44" t="s">
        <v>149</v>
      </c>
      <c r="BF44" s="12">
        <f>BF42*0.5</f>
        <v>8.7499999999999994E-2</v>
      </c>
      <c r="BG44" s="12">
        <f t="shared" si="18"/>
        <v>2.7852138566776694E-2</v>
      </c>
      <c r="BH44" s="11">
        <v>2.5000000000000001E-2</v>
      </c>
      <c r="BI44" s="11"/>
      <c r="BJ44" s="38">
        <v>0</v>
      </c>
      <c r="BK44" s="12">
        <f t="shared" si="19"/>
        <v>0.315</v>
      </c>
      <c r="BL44" s="22">
        <f t="shared" si="20"/>
        <v>10.08</v>
      </c>
      <c r="BM44" s="23" t="s">
        <v>725</v>
      </c>
      <c r="BN44" s="21"/>
      <c r="BO44" s="38">
        <v>0</v>
      </c>
      <c r="BP44" s="38">
        <v>0</v>
      </c>
      <c r="BQ44" t="s">
        <v>754</v>
      </c>
      <c r="BR44" s="24">
        <v>0.313</v>
      </c>
      <c r="BS44" s="38">
        <v>0</v>
      </c>
      <c r="BT44" s="15">
        <v>6</v>
      </c>
      <c r="BU44" s="40">
        <f t="shared" si="14"/>
        <v>0</v>
      </c>
      <c r="BV44" s="13">
        <v>4.5</v>
      </c>
      <c r="BW44" s="41">
        <f t="shared" si="15"/>
        <v>0</v>
      </c>
    </row>
    <row r="45" spans="1:75" ht="15.6" x14ac:dyDescent="0.3">
      <c r="A45" t="s">
        <v>117</v>
      </c>
      <c r="B45" t="s">
        <v>40</v>
      </c>
      <c r="C45" s="3">
        <f>C44/5</f>
        <v>3.8381328395061729</v>
      </c>
      <c r="D45" s="3"/>
      <c r="E45" t="s">
        <v>110</v>
      </c>
      <c r="F45" s="3">
        <f>(F44*0.018)*12</f>
        <v>3.6737850239999998</v>
      </c>
      <c r="G45" s="3"/>
      <c r="H45" t="s">
        <v>717</v>
      </c>
      <c r="I45" s="3"/>
      <c r="J45" s="3"/>
      <c r="L45" s="3"/>
      <c r="M45" s="3"/>
      <c r="N45" s="3"/>
      <c r="O45" s="3"/>
      <c r="P45" s="3"/>
      <c r="Q45" s="3"/>
      <c r="R45" s="3"/>
      <c r="S45" s="3"/>
      <c r="T45" s="3"/>
      <c r="U45" s="3"/>
      <c r="V45" t="s">
        <v>117</v>
      </c>
      <c r="W45" s="3"/>
      <c r="X45" s="3"/>
      <c r="Y45" s="3"/>
      <c r="Z45" s="3"/>
      <c r="AB45" t="s">
        <v>28</v>
      </c>
      <c r="AC45" s="3"/>
      <c r="AD45" s="3"/>
      <c r="AH45" s="30"/>
      <c r="AI45" s="30"/>
      <c r="AJ45" s="32" t="s">
        <v>781</v>
      </c>
      <c r="AP45" t="s">
        <v>251</v>
      </c>
      <c r="AQ45" s="10">
        <f>AVERAGE(AQ38:AT38)</f>
        <v>71.597499999999997</v>
      </c>
      <c r="BD45" t="s">
        <v>532</v>
      </c>
      <c r="BE45" t="s">
        <v>149</v>
      </c>
      <c r="BF45" s="12">
        <f>BF43*0.5</f>
        <v>0.08</v>
      </c>
      <c r="BG45" s="12">
        <f t="shared" si="18"/>
        <v>2.5464812403910124E-2</v>
      </c>
      <c r="BH45" s="11">
        <v>2.5000000000000001E-2</v>
      </c>
      <c r="BI45" s="11"/>
      <c r="BJ45" s="38">
        <v>0</v>
      </c>
      <c r="BK45" s="12">
        <f t="shared" si="19"/>
        <v>0.315</v>
      </c>
      <c r="BL45" s="22">
        <f t="shared" si="20"/>
        <v>10.08</v>
      </c>
      <c r="BM45" s="23" t="s">
        <v>725</v>
      </c>
      <c r="BN45" s="21"/>
      <c r="BO45" s="38">
        <v>0</v>
      </c>
      <c r="BP45" s="38">
        <v>0</v>
      </c>
      <c r="BQ45" t="s">
        <v>757</v>
      </c>
      <c r="BR45" s="24">
        <v>0.219</v>
      </c>
      <c r="BS45" s="38">
        <v>0</v>
      </c>
      <c r="BT45" s="15">
        <v>6</v>
      </c>
      <c r="BU45" s="40">
        <f t="shared" si="14"/>
        <v>0</v>
      </c>
      <c r="BV45" s="13">
        <v>4.5</v>
      </c>
      <c r="BW45" s="41">
        <f t="shared" si="15"/>
        <v>0</v>
      </c>
    </row>
    <row r="46" spans="1:75" ht="15.6" x14ac:dyDescent="0.3">
      <c r="A46" t="s">
        <v>118</v>
      </c>
      <c r="B46" t="s">
        <v>39</v>
      </c>
      <c r="C46" s="3">
        <f>C44*4/7</f>
        <v>10.966093827160494</v>
      </c>
      <c r="D46" s="3"/>
      <c r="E46" t="s">
        <v>114</v>
      </c>
      <c r="F46" s="3">
        <f>C2*0.512</f>
        <v>10.196992</v>
      </c>
      <c r="G46" s="3"/>
      <c r="H46" t="s">
        <v>161</v>
      </c>
      <c r="I46" s="3"/>
      <c r="J46" s="3"/>
      <c r="L46" s="3"/>
      <c r="M46" s="3"/>
      <c r="N46" s="3"/>
      <c r="O46" s="3"/>
      <c r="P46" s="3"/>
      <c r="Q46" s="3"/>
      <c r="R46" s="3"/>
      <c r="S46" s="3"/>
      <c r="T46" s="3"/>
      <c r="U46" s="3"/>
      <c r="V46" t="s">
        <v>118</v>
      </c>
      <c r="W46" s="3"/>
      <c r="X46" s="3"/>
      <c r="Y46" s="3"/>
      <c r="Z46" s="3"/>
      <c r="AB46" t="s">
        <v>29</v>
      </c>
      <c r="AC46" s="3"/>
      <c r="AD46" s="3"/>
      <c r="AH46" s="30"/>
      <c r="AI46" s="30"/>
      <c r="AJ46" s="32" t="s">
        <v>782</v>
      </c>
      <c r="AP46" t="s">
        <v>250</v>
      </c>
      <c r="AQ46" s="10">
        <f>AVERAGE(AQ39:AT39)</f>
        <v>68.337500000000006</v>
      </c>
      <c r="BD46" t="s">
        <v>533</v>
      </c>
      <c r="BE46" t="s">
        <v>334</v>
      </c>
      <c r="BF46" s="12">
        <f>BF45*0.5</f>
        <v>0.04</v>
      </c>
      <c r="BG46" s="12">
        <f t="shared" si="18"/>
        <v>1.2732406201955062E-2</v>
      </c>
      <c r="BH46" s="11">
        <v>1.2E-2</v>
      </c>
      <c r="BI46" s="11"/>
      <c r="BJ46" s="38">
        <v>0</v>
      </c>
      <c r="BK46" s="12">
        <f t="shared" si="19"/>
        <v>0.1512</v>
      </c>
      <c r="BL46" s="22">
        <f t="shared" si="20"/>
        <v>4.8384</v>
      </c>
      <c r="BM46" s="23" t="s">
        <v>726</v>
      </c>
      <c r="BO46" s="38">
        <v>0</v>
      </c>
      <c r="BP46" s="38">
        <v>0</v>
      </c>
      <c r="BQ46" t="s">
        <v>758</v>
      </c>
      <c r="BR46" s="24">
        <v>0.219</v>
      </c>
      <c r="BS46" s="38">
        <v>0</v>
      </c>
      <c r="BT46" s="15">
        <v>6</v>
      </c>
      <c r="BU46" s="40">
        <f t="shared" si="14"/>
        <v>0</v>
      </c>
      <c r="BV46" s="13">
        <v>4.5</v>
      </c>
      <c r="BW46" s="41">
        <f t="shared" si="15"/>
        <v>0</v>
      </c>
    </row>
    <row r="47" spans="1:75" ht="15.6" x14ac:dyDescent="0.3">
      <c r="A47" t="s">
        <v>119</v>
      </c>
      <c r="B47" t="s">
        <v>40</v>
      </c>
      <c r="C47" s="3">
        <f>C46/5</f>
        <v>2.1932187654320989</v>
      </c>
      <c r="D47" s="3"/>
      <c r="F47" s="3"/>
      <c r="G47" s="3"/>
      <c r="H47" t="s">
        <v>160</v>
      </c>
      <c r="I47" s="3"/>
      <c r="J47" s="3"/>
      <c r="L47" s="3"/>
      <c r="M47" s="3"/>
      <c r="N47" s="3"/>
      <c r="O47" s="3"/>
      <c r="P47" s="3"/>
      <c r="Q47" s="3"/>
      <c r="R47" s="3"/>
      <c r="S47" s="3"/>
      <c r="T47" s="3"/>
      <c r="U47" s="3"/>
      <c r="V47" t="s">
        <v>119</v>
      </c>
      <c r="W47" s="3"/>
      <c r="X47" s="3"/>
      <c r="Y47" s="3"/>
      <c r="Z47" s="3"/>
      <c r="AB47" t="s">
        <v>30</v>
      </c>
      <c r="AC47" s="3"/>
      <c r="AD47" s="3"/>
      <c r="AH47" s="30"/>
      <c r="AI47" s="30"/>
      <c r="AJ47" s="32" t="s">
        <v>783</v>
      </c>
      <c r="AP47" t="s">
        <v>247</v>
      </c>
      <c r="AQ47" s="10">
        <f>AVERAGE(AQ40:AT40)</f>
        <v>29.927500000000002</v>
      </c>
      <c r="BD47" t="s">
        <v>628</v>
      </c>
      <c r="BE47" t="s">
        <v>722</v>
      </c>
      <c r="BF47" s="12">
        <f>BF42*0.5</f>
        <v>8.7499999999999994E-2</v>
      </c>
      <c r="BG47" s="12">
        <f t="shared" si="18"/>
        <v>2.7852138566776694E-2</v>
      </c>
      <c r="BH47" s="11">
        <v>2.5000000000000001E-2</v>
      </c>
      <c r="BI47" s="11"/>
      <c r="BJ47" s="38">
        <v>0</v>
      </c>
      <c r="BK47" s="12">
        <f t="shared" si="19"/>
        <v>0.315</v>
      </c>
      <c r="BL47" s="22">
        <f t="shared" si="20"/>
        <v>10.08</v>
      </c>
      <c r="BM47" s="23" t="s">
        <v>725</v>
      </c>
      <c r="BN47" s="21"/>
      <c r="BO47" s="38">
        <v>0</v>
      </c>
      <c r="BP47" s="38">
        <v>0</v>
      </c>
      <c r="BQ47" t="s">
        <v>747</v>
      </c>
      <c r="BR47" s="24">
        <v>0.28100000000000003</v>
      </c>
      <c r="BS47" s="38">
        <v>0</v>
      </c>
      <c r="BT47" s="15">
        <v>6</v>
      </c>
      <c r="BU47" s="40">
        <f t="shared" si="14"/>
        <v>0</v>
      </c>
      <c r="BV47" s="13">
        <v>4.5</v>
      </c>
      <c r="BW47" s="41">
        <f t="shared" si="15"/>
        <v>0</v>
      </c>
    </row>
    <row r="48" spans="1:75" ht="15.6" x14ac:dyDescent="0.3">
      <c r="A48" t="s">
        <v>44</v>
      </c>
      <c r="C48" s="3"/>
      <c r="D48" s="3"/>
      <c r="F48" s="3"/>
      <c r="G48" s="3"/>
      <c r="H48" t="s">
        <v>181</v>
      </c>
      <c r="I48" s="3"/>
      <c r="J48" s="3"/>
      <c r="L48" s="3"/>
      <c r="M48" s="3"/>
      <c r="N48" s="3"/>
      <c r="O48" s="3"/>
      <c r="P48" s="3"/>
      <c r="Q48" s="3"/>
      <c r="R48" s="3"/>
      <c r="S48" s="3"/>
      <c r="T48" s="3"/>
      <c r="U48" s="3"/>
      <c r="V48" t="s">
        <v>44</v>
      </c>
      <c r="W48" s="3"/>
      <c r="X48" s="3"/>
      <c r="Y48" s="3"/>
      <c r="Z48" s="3"/>
      <c r="AC48" s="3"/>
      <c r="AD48" s="3"/>
      <c r="AH48" s="3"/>
      <c r="AI48" s="3"/>
      <c r="AP48" t="s">
        <v>248</v>
      </c>
      <c r="AQ48" s="10">
        <f>AVERAGE(AQ41:AT41)</f>
        <v>0.42346848081580024</v>
      </c>
      <c r="AR48" s="10">
        <f>AQ47/AQ45</f>
        <v>0.41799643842312934</v>
      </c>
      <c r="AS48" s="10">
        <f>(AQ48+AR48)/2</f>
        <v>0.42073245961946482</v>
      </c>
      <c r="BD48" t="s">
        <v>534</v>
      </c>
      <c r="BE48" t="s">
        <v>64</v>
      </c>
      <c r="BF48" s="12">
        <f>BF42*0.33</f>
        <v>5.7749999999999996E-2</v>
      </c>
      <c r="BG48" s="12">
        <f t="shared" si="18"/>
        <v>1.8382411454072618E-2</v>
      </c>
      <c r="BH48" s="11">
        <v>1.7999999999999999E-2</v>
      </c>
      <c r="BI48" s="11"/>
      <c r="BJ48" s="38">
        <v>0</v>
      </c>
      <c r="BK48" s="12"/>
      <c r="BL48" s="22"/>
      <c r="BM48" s="21"/>
      <c r="BN48" s="21"/>
      <c r="BQ48" t="s">
        <v>748</v>
      </c>
      <c r="BR48" s="24">
        <v>0.28100000000000003</v>
      </c>
      <c r="BS48" s="38">
        <v>0</v>
      </c>
      <c r="BT48" s="15">
        <v>6</v>
      </c>
      <c r="BU48" s="40">
        <f t="shared" si="14"/>
        <v>0</v>
      </c>
      <c r="BV48" s="13">
        <v>4.5</v>
      </c>
      <c r="BW48" s="41">
        <f t="shared" si="15"/>
        <v>0</v>
      </c>
    </row>
    <row r="49" spans="1:75" ht="15.6" x14ac:dyDescent="0.3">
      <c r="A49" t="s">
        <v>28</v>
      </c>
      <c r="C49" s="3"/>
      <c r="D49" s="3"/>
      <c r="F49" s="3"/>
      <c r="G49" s="3"/>
      <c r="H49" t="s">
        <v>718</v>
      </c>
      <c r="I49" s="3"/>
      <c r="J49" s="3"/>
      <c r="L49" s="3"/>
      <c r="M49" s="3"/>
      <c r="N49" s="3"/>
      <c r="O49" s="3"/>
      <c r="P49" s="3"/>
      <c r="Q49" s="3"/>
      <c r="R49" s="3"/>
      <c r="S49" s="3"/>
      <c r="T49" s="3"/>
      <c r="U49" s="3"/>
      <c r="V49" t="s">
        <v>28</v>
      </c>
      <c r="W49" s="3"/>
      <c r="X49" s="3"/>
      <c r="Y49" s="3"/>
      <c r="Z49" s="3"/>
      <c r="AC49" s="3"/>
      <c r="AD49" s="3"/>
      <c r="AH49" s="3"/>
      <c r="AI49" s="3"/>
      <c r="AP49" t="s">
        <v>249</v>
      </c>
      <c r="AQ49" s="10">
        <f>AVERAGE(AQ42:AT42)</f>
        <v>0.44336576681205264</v>
      </c>
      <c r="AR49" s="10">
        <f>AQ47/AQ46</f>
        <v>0.4379367111761478</v>
      </c>
      <c r="AS49" s="10">
        <f>(AQ49+AR49)/2</f>
        <v>0.44065123899410019</v>
      </c>
      <c r="BD49" t="s">
        <v>535</v>
      </c>
      <c r="BE49" t="s">
        <v>65</v>
      </c>
      <c r="BF49" s="12">
        <f>BF44*0.5</f>
        <v>4.3749999999999997E-2</v>
      </c>
      <c r="BG49" s="12">
        <f t="shared" si="18"/>
        <v>1.3926069283388347E-2</v>
      </c>
      <c r="BH49" s="11">
        <v>1.2E-2</v>
      </c>
      <c r="BI49" s="11"/>
      <c r="BJ49" s="38">
        <v>0</v>
      </c>
      <c r="BK49" s="12"/>
      <c r="BL49" s="22"/>
      <c r="BQ49" s="27" t="s">
        <v>749</v>
      </c>
      <c r="BR49" s="28">
        <v>0.28100000000000003</v>
      </c>
      <c r="BS49" s="38">
        <v>0</v>
      </c>
      <c r="BT49" s="15">
        <v>6</v>
      </c>
      <c r="BU49" s="40">
        <f t="shared" si="14"/>
        <v>0</v>
      </c>
      <c r="BV49" s="13">
        <v>4.5</v>
      </c>
      <c r="BW49" s="41">
        <f t="shared" si="15"/>
        <v>0</v>
      </c>
    </row>
    <row r="50" spans="1:75" ht="15.6" x14ac:dyDescent="0.3">
      <c r="A50" t="s">
        <v>29</v>
      </c>
      <c r="C50" s="3"/>
      <c r="D50" s="3"/>
      <c r="F50" s="3"/>
      <c r="G50" s="3"/>
      <c r="H50" t="s">
        <v>719</v>
      </c>
      <c r="I50" s="3"/>
      <c r="J50" s="3"/>
      <c r="L50" s="3"/>
      <c r="M50" s="3"/>
      <c r="N50" s="3"/>
      <c r="O50" s="3"/>
      <c r="P50" s="44" t="s">
        <v>784</v>
      </c>
      <c r="Q50" s="3"/>
      <c r="R50" s="3"/>
      <c r="S50" s="3"/>
      <c r="T50" s="3"/>
      <c r="U50" s="3"/>
      <c r="V50" t="s">
        <v>29</v>
      </c>
      <c r="W50" s="3"/>
      <c r="X50" s="3"/>
      <c r="Y50" s="3"/>
      <c r="Z50" s="3"/>
      <c r="AB50" s="1" t="s">
        <v>306</v>
      </c>
      <c r="AC50" s="31" t="s">
        <v>1</v>
      </c>
      <c r="AD50" s="31" t="s">
        <v>82</v>
      </c>
      <c r="AH50" s="3"/>
      <c r="AI50" s="3"/>
      <c r="AP50" t="s">
        <v>253</v>
      </c>
      <c r="AQ50" s="10">
        <f>(AQ18+AS18+AT18)/3</f>
        <v>5.1028430570514371E-2</v>
      </c>
      <c r="BD50" t="s">
        <v>629</v>
      </c>
      <c r="BE50" t="s">
        <v>145</v>
      </c>
      <c r="BF50" s="12">
        <f>BF48</f>
        <v>5.7749999999999996E-2</v>
      </c>
      <c r="BG50" s="12">
        <f t="shared" si="18"/>
        <v>1.8382411454072618E-2</v>
      </c>
      <c r="BH50" s="11">
        <v>1.7999999999999999E-2</v>
      </c>
      <c r="BI50" s="11"/>
      <c r="BJ50" s="38">
        <v>0</v>
      </c>
      <c r="BK50" s="12">
        <f t="shared" si="19"/>
        <v>0.22679999999999997</v>
      </c>
      <c r="BL50" s="22">
        <f t="shared" si="20"/>
        <v>7.2575999999999992</v>
      </c>
      <c r="BM50" s="35" t="s">
        <v>775</v>
      </c>
      <c r="BN50" s="36" t="s">
        <v>727</v>
      </c>
      <c r="BO50" s="38">
        <v>0</v>
      </c>
      <c r="BP50" s="38">
        <v>0</v>
      </c>
      <c r="BQ50" s="27" t="s">
        <v>750</v>
      </c>
      <c r="BR50" s="28">
        <v>0.34399999999999997</v>
      </c>
      <c r="BS50" s="38">
        <v>0</v>
      </c>
      <c r="BT50" s="15">
        <v>5</v>
      </c>
      <c r="BU50" s="40">
        <f t="shared" si="14"/>
        <v>0</v>
      </c>
      <c r="BV50" s="13">
        <v>4.25</v>
      </c>
      <c r="BW50" s="41">
        <f t="shared" si="15"/>
        <v>0</v>
      </c>
    </row>
    <row r="51" spans="1:75" ht="15.6" x14ac:dyDescent="0.3">
      <c r="A51" t="s">
        <v>30</v>
      </c>
      <c r="C51" s="3"/>
      <c r="D51" s="3"/>
      <c r="F51" s="3"/>
      <c r="G51" s="3"/>
      <c r="I51" s="3"/>
      <c r="J51" s="3"/>
      <c r="L51" s="3"/>
      <c r="M51" s="3"/>
      <c r="N51" s="3"/>
      <c r="O51" s="3"/>
      <c r="P51" s="32" t="s">
        <v>780</v>
      </c>
      <c r="Q51" s="3"/>
      <c r="R51" s="3"/>
      <c r="S51" s="3"/>
      <c r="T51" s="3"/>
      <c r="U51" s="3"/>
      <c r="V51" t="s">
        <v>30</v>
      </c>
      <c r="W51" s="3"/>
      <c r="X51" s="3"/>
      <c r="Y51" s="3"/>
      <c r="Z51" s="3"/>
      <c r="AB51" t="s">
        <v>143</v>
      </c>
      <c r="AC51" s="3">
        <f>AC6*0.5</f>
        <v>10.333333333333334</v>
      </c>
      <c r="AD51" s="3">
        <f>(AD6*0.166)*3.14159</f>
        <v>10.475971146720001</v>
      </c>
      <c r="AH51" s="3"/>
      <c r="AI51" s="3"/>
      <c r="BD51" t="s">
        <v>536</v>
      </c>
      <c r="BE51" t="s">
        <v>146</v>
      </c>
      <c r="BF51" s="12">
        <f>BF49</f>
        <v>4.3749999999999997E-2</v>
      </c>
      <c r="BG51" s="12">
        <f t="shared" si="18"/>
        <v>1.3926069283388347E-2</v>
      </c>
      <c r="BH51" s="11">
        <v>1.2E-2</v>
      </c>
      <c r="BI51" s="11"/>
      <c r="BJ51" s="38">
        <v>0</v>
      </c>
      <c r="BK51" s="12">
        <f t="shared" si="19"/>
        <v>0.1512</v>
      </c>
      <c r="BL51" s="22">
        <f t="shared" si="20"/>
        <v>4.8384</v>
      </c>
      <c r="BM51" s="23" t="s">
        <v>726</v>
      </c>
      <c r="BO51" s="38">
        <v>0</v>
      </c>
      <c r="BP51" s="38">
        <v>0</v>
      </c>
      <c r="BQ51" s="27" t="s">
        <v>751</v>
      </c>
      <c r="BR51" s="28">
        <v>0.40600000000000003</v>
      </c>
      <c r="BS51" s="38">
        <v>0</v>
      </c>
      <c r="BT51" s="15">
        <v>5</v>
      </c>
      <c r="BU51" s="40">
        <f t="shared" si="14"/>
        <v>0</v>
      </c>
      <c r="BV51" s="13">
        <v>4.5</v>
      </c>
      <c r="BW51" s="41">
        <f t="shared" si="15"/>
        <v>0</v>
      </c>
    </row>
    <row r="52" spans="1:75" x14ac:dyDescent="0.25">
      <c r="C52" s="3"/>
      <c r="D52" s="3"/>
      <c r="F52" s="3"/>
      <c r="G52" s="3"/>
      <c r="I52" s="3"/>
      <c r="J52" s="3"/>
      <c r="L52" s="3"/>
      <c r="M52" s="3"/>
      <c r="N52" s="3"/>
      <c r="O52" s="3"/>
      <c r="P52" s="32" t="s">
        <v>781</v>
      </c>
      <c r="Q52" s="3"/>
      <c r="R52" s="3"/>
      <c r="S52" s="3"/>
      <c r="T52" s="3"/>
      <c r="U52" s="3"/>
      <c r="V52" s="3"/>
      <c r="W52" s="3"/>
      <c r="X52" s="3"/>
      <c r="Y52" s="3"/>
      <c r="Z52" s="3"/>
      <c r="AB52" t="s">
        <v>45</v>
      </c>
      <c r="AC52" s="3">
        <f>AC16/2</f>
        <v>10</v>
      </c>
      <c r="AD52" s="3">
        <f>AD51*0.9</f>
        <v>9.4283740320480014</v>
      </c>
      <c r="AH52" s="3"/>
      <c r="AI52" s="3"/>
      <c r="BD52" t="s">
        <v>537</v>
      </c>
      <c r="BE52" t="s">
        <v>59</v>
      </c>
      <c r="BF52" s="12">
        <f>BF42*0.6</f>
        <v>0.105</v>
      </c>
      <c r="BG52" s="12">
        <f t="shared" si="18"/>
        <v>3.3422566280132036E-2</v>
      </c>
      <c r="BH52" s="11">
        <v>3.5000000000000003E-2</v>
      </c>
      <c r="BI52" s="11"/>
      <c r="BJ52" s="38">
        <v>0</v>
      </c>
      <c r="BK52" s="12">
        <f t="shared" si="19"/>
        <v>0.441</v>
      </c>
      <c r="BL52" s="22">
        <f t="shared" si="20"/>
        <v>14.112</v>
      </c>
      <c r="BM52" s="35" t="s">
        <v>775</v>
      </c>
      <c r="BN52" s="21"/>
      <c r="BO52" s="38">
        <v>0</v>
      </c>
      <c r="BP52" s="38">
        <v>0</v>
      </c>
      <c r="BQ52" s="27"/>
      <c r="BU52" s="13"/>
    </row>
    <row r="53" spans="1:75" ht="15.6" x14ac:dyDescent="0.3">
      <c r="A53" s="1" t="s">
        <v>306</v>
      </c>
      <c r="C53" s="3"/>
      <c r="D53" s="3"/>
      <c r="F53" s="3"/>
      <c r="G53" s="3"/>
      <c r="I53" s="3"/>
      <c r="J53" s="3"/>
      <c r="L53" s="3"/>
      <c r="M53" s="3"/>
      <c r="N53" s="3"/>
      <c r="O53" s="3"/>
      <c r="P53" s="32" t="s">
        <v>782</v>
      </c>
      <c r="Q53" s="3"/>
      <c r="R53" s="3"/>
      <c r="S53" s="3"/>
      <c r="T53" s="3"/>
      <c r="U53" s="3"/>
      <c r="V53" s="3"/>
      <c r="W53" s="3"/>
      <c r="X53" s="3"/>
      <c r="Y53" s="3"/>
      <c r="Z53" s="3"/>
      <c r="AB53" t="s">
        <v>46</v>
      </c>
      <c r="AC53" s="3">
        <f>AC52/3.14159</f>
        <v>3.1831015504887654</v>
      </c>
      <c r="AD53" s="3">
        <f>AD52/3.14159</f>
        <v>3.0011472000000006</v>
      </c>
      <c r="AH53" s="3"/>
      <c r="AI53" s="3"/>
      <c r="BD53" t="s">
        <v>538</v>
      </c>
      <c r="BE53" t="s">
        <v>59</v>
      </c>
      <c r="BF53" s="12">
        <f>BF43*0.6</f>
        <v>9.6000000000000002E-2</v>
      </c>
      <c r="BG53" s="12">
        <f t="shared" si="18"/>
        <v>3.0557774884692149E-2</v>
      </c>
      <c r="BH53" s="11">
        <v>3.5000000000000003E-2</v>
      </c>
      <c r="BI53" s="11"/>
      <c r="BJ53" s="38">
        <v>0</v>
      </c>
      <c r="BK53" s="12">
        <f t="shared" si="19"/>
        <v>0.441</v>
      </c>
      <c r="BL53" s="22">
        <f t="shared" si="20"/>
        <v>14.112</v>
      </c>
      <c r="BM53" s="35" t="s">
        <v>775</v>
      </c>
      <c r="BN53" s="21"/>
      <c r="BO53" s="38">
        <v>0</v>
      </c>
      <c r="BP53" s="38">
        <v>0</v>
      </c>
      <c r="BQ53" s="25"/>
      <c r="BU53" s="13"/>
    </row>
    <row r="54" spans="1:75" ht="15.6" x14ac:dyDescent="0.3">
      <c r="B54" s="1" t="s">
        <v>1</v>
      </c>
      <c r="C54" s="3"/>
      <c r="D54" s="3"/>
      <c r="E54" s="1" t="s">
        <v>82</v>
      </c>
      <c r="F54" s="3"/>
      <c r="G54" s="3"/>
      <c r="H54" s="1"/>
      <c r="K54" s="1"/>
      <c r="L54" s="3"/>
      <c r="M54" s="3"/>
      <c r="N54" s="3"/>
      <c r="O54" s="3"/>
      <c r="P54" s="32" t="s">
        <v>783</v>
      </c>
      <c r="Q54" s="3"/>
      <c r="R54" s="3"/>
      <c r="S54" s="3"/>
      <c r="T54" s="3"/>
      <c r="U54" s="3"/>
      <c r="V54" s="3"/>
      <c r="W54" s="3"/>
      <c r="X54" s="3"/>
      <c r="Y54" s="3"/>
      <c r="Z54" s="3"/>
      <c r="AB54" t="s">
        <v>47</v>
      </c>
      <c r="AC54" s="3">
        <f>AC6*0.5</f>
        <v>10.333333333333334</v>
      </c>
      <c r="AD54" s="3">
        <f>AD51</f>
        <v>10.475971146720001</v>
      </c>
      <c r="AH54" s="3"/>
      <c r="AI54" s="3"/>
      <c r="BD54" t="s">
        <v>539</v>
      </c>
      <c r="BE54" t="s">
        <v>70</v>
      </c>
      <c r="BF54" s="12">
        <f>BF42*0.5</f>
        <v>8.7499999999999994E-2</v>
      </c>
      <c r="BG54" s="12">
        <f t="shared" si="18"/>
        <v>2.7852138566776694E-2</v>
      </c>
      <c r="BH54" s="11">
        <v>2.5000000000000001E-2</v>
      </c>
      <c r="BI54" s="11"/>
      <c r="BJ54" s="38">
        <v>0</v>
      </c>
      <c r="BK54" s="12">
        <f t="shared" si="19"/>
        <v>0.315</v>
      </c>
      <c r="BL54" s="22">
        <f t="shared" si="20"/>
        <v>10.08</v>
      </c>
      <c r="BM54" s="23" t="s">
        <v>725</v>
      </c>
      <c r="BN54" s="21"/>
      <c r="BO54" s="38">
        <v>0</v>
      </c>
      <c r="BP54" s="38">
        <v>0</v>
      </c>
      <c r="BQ54" s="25"/>
    </row>
    <row r="55" spans="1:75" x14ac:dyDescent="0.25">
      <c r="A55" t="s">
        <v>143</v>
      </c>
      <c r="B55" t="s">
        <v>49</v>
      </c>
      <c r="C55" s="3">
        <f>C6*0.5</f>
        <v>7.4021133333333333</v>
      </c>
      <c r="D55" s="3"/>
      <c r="E55" s="2" t="s">
        <v>162</v>
      </c>
      <c r="F55" s="3">
        <f>(F6*0.166)*3.14159</f>
        <v>7.8845517919672741</v>
      </c>
      <c r="G55" s="3"/>
      <c r="I55" s="3"/>
      <c r="J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B55" t="s">
        <v>48</v>
      </c>
      <c r="AC55" s="3">
        <f>AC54/3.14159</f>
        <v>3.2892049355050577</v>
      </c>
      <c r="AD55" s="3">
        <f>AD54/3.14159</f>
        <v>3.3346080000000002</v>
      </c>
      <c r="AH55" s="3"/>
      <c r="AI55" s="3"/>
      <c r="BD55" t="s">
        <v>540</v>
      </c>
      <c r="BE55" t="s">
        <v>153</v>
      </c>
      <c r="BF55" s="12">
        <f>BF54*0.5</f>
        <v>4.3749999999999997E-2</v>
      </c>
      <c r="BG55" s="12">
        <f t="shared" si="18"/>
        <v>1.3926069283388347E-2</v>
      </c>
      <c r="BH55" s="11">
        <v>1.2E-2</v>
      </c>
      <c r="BI55" s="11"/>
      <c r="BJ55" s="38">
        <v>0</v>
      </c>
      <c r="BK55" s="12">
        <f t="shared" si="19"/>
        <v>0.1512</v>
      </c>
      <c r="BL55" s="22">
        <f t="shared" si="20"/>
        <v>4.8384</v>
      </c>
      <c r="BM55" s="23" t="s">
        <v>726</v>
      </c>
      <c r="BO55" s="38">
        <v>0</v>
      </c>
      <c r="BP55" s="38">
        <v>0</v>
      </c>
      <c r="BQ55" s="25"/>
    </row>
    <row r="56" spans="1:75" x14ac:dyDescent="0.25">
      <c r="A56" t="s">
        <v>45</v>
      </c>
      <c r="B56" t="s">
        <v>49</v>
      </c>
      <c r="C56" s="3">
        <f>C19/2</f>
        <v>6.6619020000000004</v>
      </c>
      <c r="D56" s="3"/>
      <c r="E56" t="s">
        <v>138</v>
      </c>
      <c r="F56" s="3">
        <f>F55*0.9</f>
        <v>7.0960966127705465</v>
      </c>
      <c r="G56" s="3"/>
      <c r="I56" s="3"/>
      <c r="J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B56" t="s">
        <v>51</v>
      </c>
      <c r="AC56" s="3">
        <f>AC52/2</f>
        <v>5</v>
      </c>
      <c r="AD56" s="3">
        <f>AD51*0.88</f>
        <v>9.2188546091136008</v>
      </c>
      <c r="AH56" s="3"/>
      <c r="AI56" s="3"/>
      <c r="BD56" t="s">
        <v>541</v>
      </c>
      <c r="BE56" t="s">
        <v>73</v>
      </c>
      <c r="BF56" s="12">
        <f>BF42*0.44</f>
        <v>7.6999999999999999E-2</v>
      </c>
      <c r="BG56" s="12">
        <f t="shared" si="18"/>
        <v>2.4509881938763491E-2</v>
      </c>
      <c r="BH56" s="11">
        <v>2.5000000000000001E-2</v>
      </c>
      <c r="BI56" s="11"/>
      <c r="BJ56" s="38">
        <v>0</v>
      </c>
      <c r="BK56" s="12"/>
      <c r="BL56" s="22"/>
      <c r="BM56" s="21"/>
      <c r="BN56" s="21"/>
      <c r="BQ56" s="25"/>
    </row>
    <row r="57" spans="1:75" x14ac:dyDescent="0.25">
      <c r="A57" t="s">
        <v>46</v>
      </c>
      <c r="B57" t="s">
        <v>50</v>
      </c>
      <c r="C57" s="3">
        <f>C56/3.14159</f>
        <v>2.1205510585404208</v>
      </c>
      <c r="D57" s="3"/>
      <c r="E57" t="s">
        <v>50</v>
      </c>
      <c r="F57" s="3">
        <f>F56/3.14159</f>
        <v>2.2587596130528</v>
      </c>
      <c r="G57" s="3"/>
      <c r="I57" s="3"/>
      <c r="J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B57" t="s">
        <v>52</v>
      </c>
      <c r="AC57" s="3">
        <f>AC56/3.14159</f>
        <v>1.5915507752443827</v>
      </c>
      <c r="AD57" s="3">
        <f>AD56/3.14159</f>
        <v>2.9344550400000005</v>
      </c>
      <c r="AH57" s="3"/>
      <c r="AI57" s="3"/>
      <c r="BD57" t="s">
        <v>542</v>
      </c>
      <c r="BE57" t="s">
        <v>147</v>
      </c>
      <c r="BF57" s="12">
        <f>BF56</f>
        <v>7.6999999999999999E-2</v>
      </c>
      <c r="BG57" s="12">
        <f t="shared" si="18"/>
        <v>2.4509881938763491E-2</v>
      </c>
      <c r="BH57" s="11">
        <v>2.5000000000000001E-2</v>
      </c>
      <c r="BI57" s="11"/>
      <c r="BJ57" s="38">
        <v>0</v>
      </c>
      <c r="BK57" s="12">
        <f t="shared" si="19"/>
        <v>0.315</v>
      </c>
      <c r="BL57" s="22">
        <f t="shared" si="20"/>
        <v>10.08</v>
      </c>
      <c r="BM57" s="23" t="s">
        <v>725</v>
      </c>
      <c r="BN57" s="21"/>
      <c r="BO57" s="38">
        <v>0</v>
      </c>
      <c r="BP57" s="38">
        <v>0</v>
      </c>
      <c r="BQ57" s="25"/>
    </row>
    <row r="58" spans="1:75" x14ac:dyDescent="0.25">
      <c r="A58" t="s">
        <v>47</v>
      </c>
      <c r="B58" t="s">
        <v>49</v>
      </c>
      <c r="C58" s="3">
        <f>C6*0.5</f>
        <v>7.4021133333333333</v>
      </c>
      <c r="D58" s="3"/>
      <c r="E58" t="s">
        <v>139</v>
      </c>
      <c r="F58" s="3">
        <f>C55</f>
        <v>7.4021133333333333</v>
      </c>
      <c r="G58" s="3"/>
      <c r="I58" s="3"/>
      <c r="J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B58" t="s">
        <v>53</v>
      </c>
      <c r="AC58" s="3">
        <f>AC54/2</f>
        <v>5.166666666666667</v>
      </c>
      <c r="AD58" s="3">
        <f>AD51*0.88</f>
        <v>9.2188546091136008</v>
      </c>
      <c r="AH58" s="3"/>
      <c r="AI58" s="3"/>
      <c r="BD58" t="s">
        <v>543</v>
      </c>
      <c r="BE58" t="s">
        <v>152</v>
      </c>
      <c r="BF58" s="12">
        <f>BF57*0.5</f>
        <v>3.85E-2</v>
      </c>
      <c r="BG58" s="12">
        <f t="shared" si="18"/>
        <v>1.2254940969381746E-2</v>
      </c>
      <c r="BH58" s="11">
        <v>1.2E-2</v>
      </c>
      <c r="BI58" s="11"/>
      <c r="BJ58" s="38">
        <v>0</v>
      </c>
      <c r="BK58" s="12">
        <f t="shared" si="19"/>
        <v>0.1512</v>
      </c>
      <c r="BL58" s="22">
        <f t="shared" si="20"/>
        <v>4.8384</v>
      </c>
      <c r="BM58" s="23" t="s">
        <v>726</v>
      </c>
      <c r="BO58" s="38">
        <v>0</v>
      </c>
      <c r="BP58" s="38">
        <v>0</v>
      </c>
      <c r="BQ58" s="25"/>
    </row>
    <row r="59" spans="1:75" x14ac:dyDescent="0.25">
      <c r="A59" t="s">
        <v>48</v>
      </c>
      <c r="B59" t="s">
        <v>50</v>
      </c>
      <c r="C59" s="3">
        <f>C58/3.14159</f>
        <v>2.3561678428226895</v>
      </c>
      <c r="D59" s="3"/>
      <c r="E59" t="s">
        <v>50</v>
      </c>
      <c r="F59" s="3">
        <f>F58/3.14159</f>
        <v>2.3561678428226895</v>
      </c>
      <c r="G59" s="3"/>
      <c r="I59" s="3"/>
      <c r="J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B59" t="s">
        <v>54</v>
      </c>
      <c r="AC59" s="3">
        <f>AC58/3.14159</f>
        <v>1.6446024677525288</v>
      </c>
      <c r="AD59" s="3">
        <f>AD58/3.14159</f>
        <v>2.9344550400000005</v>
      </c>
      <c r="AH59" s="3"/>
      <c r="AI59" s="3"/>
      <c r="BD59" t="s">
        <v>544</v>
      </c>
      <c r="BE59" t="s">
        <v>150</v>
      </c>
      <c r="BF59" s="12">
        <f>BF45*0.75</f>
        <v>0.06</v>
      </c>
      <c r="BG59" s="12">
        <f t="shared" si="18"/>
        <v>1.9098609302932591E-2</v>
      </c>
      <c r="BH59" s="11">
        <v>1.7999999999999999E-2</v>
      </c>
      <c r="BI59" s="11"/>
      <c r="BJ59" s="38">
        <v>0</v>
      </c>
      <c r="BK59" s="12">
        <f t="shared" si="19"/>
        <v>0.22679999999999997</v>
      </c>
      <c r="BL59" s="22">
        <f t="shared" si="20"/>
        <v>7.2575999999999992</v>
      </c>
      <c r="BM59" s="35" t="s">
        <v>775</v>
      </c>
      <c r="BN59" s="36" t="s">
        <v>727</v>
      </c>
      <c r="BO59" s="38">
        <v>0</v>
      </c>
      <c r="BP59" s="38">
        <v>0</v>
      </c>
      <c r="BQ59" s="25"/>
    </row>
    <row r="60" spans="1:75" x14ac:dyDescent="0.25">
      <c r="A60" t="s">
        <v>51</v>
      </c>
      <c r="B60" t="s">
        <v>149</v>
      </c>
      <c r="C60" s="3">
        <f>C56/2</f>
        <v>3.3309510000000002</v>
      </c>
      <c r="D60" s="3"/>
      <c r="E60" t="s">
        <v>140</v>
      </c>
      <c r="F60" s="3">
        <f>C55*0.88</f>
        <v>6.5138597333333337</v>
      </c>
      <c r="G60" s="3"/>
      <c r="I60" s="3"/>
      <c r="J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B60" t="s">
        <v>60</v>
      </c>
      <c r="AC60" s="3">
        <f>AC54/3</f>
        <v>3.4444444444444446</v>
      </c>
      <c r="AD60" s="3">
        <f>AD51*0.5</f>
        <v>5.2379855733600005</v>
      </c>
      <c r="AH60" s="3"/>
      <c r="AI60" s="3"/>
      <c r="BD60" t="s">
        <v>545</v>
      </c>
      <c r="BE60" t="s">
        <v>151</v>
      </c>
      <c r="BF60" s="12">
        <f>BF59*0.5</f>
        <v>0.03</v>
      </c>
      <c r="BG60" s="12">
        <f t="shared" si="18"/>
        <v>9.5493046514662956E-3</v>
      </c>
      <c r="BH60" s="11">
        <v>1.2E-2</v>
      </c>
      <c r="BI60" s="11"/>
      <c r="BJ60" s="38">
        <v>0</v>
      </c>
      <c r="BK60" s="12">
        <f t="shared" si="19"/>
        <v>0.1512</v>
      </c>
      <c r="BL60" s="22">
        <f t="shared" si="20"/>
        <v>4.8384</v>
      </c>
      <c r="BM60" s="23" t="s">
        <v>726</v>
      </c>
      <c r="BO60" s="38">
        <v>0</v>
      </c>
      <c r="BP60" s="38">
        <v>0</v>
      </c>
      <c r="BQ60" s="25"/>
    </row>
    <row r="61" spans="1:75" x14ac:dyDescent="0.25">
      <c r="A61" t="s">
        <v>52</v>
      </c>
      <c r="B61" t="s">
        <v>50</v>
      </c>
      <c r="C61" s="3">
        <f>C60/3.14159</f>
        <v>1.0602755292702104</v>
      </c>
      <c r="D61" s="3"/>
      <c r="E61" t="s">
        <v>50</v>
      </c>
      <c r="F61" s="3">
        <f>F60/3.14159</f>
        <v>2.0734277016839671</v>
      </c>
      <c r="G61" s="3"/>
      <c r="I61" s="3"/>
      <c r="J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B61" t="s">
        <v>61</v>
      </c>
      <c r="AC61" s="3">
        <f>AC60/3.14159</f>
        <v>1.0964016451683525</v>
      </c>
      <c r="AD61" s="3">
        <f>AD60/3.14159</f>
        <v>1.6673040000000001</v>
      </c>
      <c r="AH61" s="3"/>
      <c r="AI61" s="3"/>
      <c r="BD61" t="s">
        <v>546</v>
      </c>
      <c r="BE61" t="s">
        <v>153</v>
      </c>
      <c r="BF61" s="12">
        <f>BF54*0.5</f>
        <v>4.3749999999999997E-2</v>
      </c>
      <c r="BG61" s="12">
        <f t="shared" si="18"/>
        <v>1.3926069283388347E-2</v>
      </c>
      <c r="BH61" s="11">
        <v>1.2E-2</v>
      </c>
      <c r="BI61" s="11"/>
      <c r="BJ61" s="38">
        <v>0</v>
      </c>
      <c r="BK61" s="12">
        <f t="shared" si="19"/>
        <v>0.1512</v>
      </c>
      <c r="BL61" s="22">
        <f t="shared" si="20"/>
        <v>4.8384</v>
      </c>
      <c r="BM61" s="23" t="s">
        <v>726</v>
      </c>
      <c r="BO61" s="38">
        <v>0</v>
      </c>
      <c r="BP61" s="38">
        <v>0</v>
      </c>
      <c r="BQ61" s="25"/>
    </row>
    <row r="62" spans="1:75" x14ac:dyDescent="0.25">
      <c r="A62" t="s">
        <v>53</v>
      </c>
      <c r="B62" t="s">
        <v>149</v>
      </c>
      <c r="C62" s="3">
        <f>C58/2</f>
        <v>3.7010566666666667</v>
      </c>
      <c r="D62" s="3"/>
      <c r="E62" t="s">
        <v>140</v>
      </c>
      <c r="F62" s="3">
        <f>C55*0.88</f>
        <v>6.5138597333333337</v>
      </c>
      <c r="G62" s="3"/>
      <c r="I62" s="3"/>
      <c r="J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B62" t="s">
        <v>62</v>
      </c>
      <c r="AC62" s="3">
        <f>AC58/2</f>
        <v>2.5833333333333335</v>
      </c>
      <c r="AD62" s="3">
        <f>AD51*0.44</f>
        <v>4.6094273045568004</v>
      </c>
      <c r="AH62" s="3"/>
      <c r="AI62" s="3"/>
      <c r="BD62" t="s">
        <v>547</v>
      </c>
      <c r="BE62" t="s">
        <v>148</v>
      </c>
      <c r="BF62" s="12">
        <f>BF52</f>
        <v>0.105</v>
      </c>
      <c r="BG62" s="12">
        <f t="shared" si="18"/>
        <v>3.3422566280132036E-2</v>
      </c>
      <c r="BH62" s="11">
        <v>3.5000000000000003E-2</v>
      </c>
      <c r="BI62" s="11"/>
      <c r="BJ62" s="38">
        <v>0</v>
      </c>
      <c r="BK62" s="12">
        <f t="shared" si="19"/>
        <v>0.441</v>
      </c>
      <c r="BL62" s="22">
        <f t="shared" si="20"/>
        <v>14.112</v>
      </c>
      <c r="BM62" s="35" t="s">
        <v>775</v>
      </c>
      <c r="BN62" s="21"/>
      <c r="BO62" s="38">
        <v>0</v>
      </c>
      <c r="BP62" s="38">
        <v>0</v>
      </c>
      <c r="BQ62" s="25"/>
    </row>
    <row r="63" spans="1:75" x14ac:dyDescent="0.25">
      <c r="A63" t="s">
        <v>54</v>
      </c>
      <c r="B63" t="s">
        <v>50</v>
      </c>
      <c r="C63" s="3">
        <f>C62/3.14159</f>
        <v>1.1780839214113448</v>
      </c>
      <c r="D63" s="3"/>
      <c r="E63" t="s">
        <v>50</v>
      </c>
      <c r="F63" s="3">
        <f>F62/3.14159</f>
        <v>2.0734277016839671</v>
      </c>
      <c r="G63" s="3"/>
      <c r="I63" s="3"/>
      <c r="J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B63" t="s">
        <v>63</v>
      </c>
      <c r="AC63" s="3">
        <f>AC62/3.14159</f>
        <v>0.82230123387626441</v>
      </c>
      <c r="AD63" s="3">
        <f>AD62/3.14159</f>
        <v>1.4672275200000002</v>
      </c>
      <c r="AH63" s="3"/>
      <c r="AI63" s="3"/>
      <c r="BD63" t="s">
        <v>548</v>
      </c>
      <c r="BE63" t="s">
        <v>148</v>
      </c>
      <c r="BF63" s="12">
        <f>BF53</f>
        <v>9.6000000000000002E-2</v>
      </c>
      <c r="BG63" s="12">
        <f t="shared" si="18"/>
        <v>3.0557774884692149E-2</v>
      </c>
      <c r="BH63" s="11">
        <v>3.5000000000000003E-2</v>
      </c>
      <c r="BI63" s="11"/>
      <c r="BJ63" s="38">
        <v>0</v>
      </c>
      <c r="BK63" s="12">
        <f t="shared" si="19"/>
        <v>0.441</v>
      </c>
      <c r="BL63" s="22">
        <f t="shared" si="20"/>
        <v>14.112</v>
      </c>
      <c r="BM63" s="35" t="s">
        <v>775</v>
      </c>
      <c r="BN63" s="21"/>
      <c r="BO63" s="38">
        <v>0</v>
      </c>
      <c r="BP63" s="38">
        <v>0</v>
      </c>
      <c r="BQ63" s="25"/>
    </row>
    <row r="64" spans="1:75" x14ac:dyDescent="0.25">
      <c r="A64" t="s">
        <v>526</v>
      </c>
      <c r="B64" t="s">
        <v>334</v>
      </c>
      <c r="C64" s="3">
        <f>C62*0.5</f>
        <v>1.8505283333333333</v>
      </c>
      <c r="D64" s="3"/>
      <c r="F64" s="3"/>
      <c r="G64" s="3"/>
      <c r="I64" s="3"/>
      <c r="J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B64" t="s">
        <v>67</v>
      </c>
      <c r="AC64" s="3">
        <f>AC60</f>
        <v>3.4444444444444446</v>
      </c>
      <c r="AD64" s="3">
        <f>AD51*0.6</f>
        <v>6.285582688032</v>
      </c>
      <c r="AH64" s="3"/>
      <c r="AI64" s="3"/>
      <c r="BF64" s="12"/>
      <c r="BG64" s="12"/>
      <c r="BH64" s="12"/>
      <c r="BI64" s="12"/>
      <c r="BQ64" s="25"/>
    </row>
    <row r="65" spans="1:69" ht="15.6" x14ac:dyDescent="0.3">
      <c r="A65" t="s">
        <v>525</v>
      </c>
      <c r="B65" t="s">
        <v>50</v>
      </c>
      <c r="C65" s="3">
        <f>C64/3.14159</f>
        <v>0.58904196070567238</v>
      </c>
      <c r="D65" s="3"/>
      <c r="F65" s="3"/>
      <c r="G65" s="3"/>
      <c r="I65" s="3"/>
      <c r="J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B65" t="s">
        <v>66</v>
      </c>
      <c r="AC65" s="3">
        <f>AC64/3.14159</f>
        <v>1.0964016451683525</v>
      </c>
      <c r="AD65" s="3">
        <f>AD64/3.14159</f>
        <v>2.0007648000000002</v>
      </c>
      <c r="AH65" s="3"/>
      <c r="AI65" s="3"/>
      <c r="BD65" s="1" t="s">
        <v>277</v>
      </c>
      <c r="BF65" s="1" t="s">
        <v>630</v>
      </c>
      <c r="BH65" s="14" t="s">
        <v>527</v>
      </c>
      <c r="BI65" s="14" t="s">
        <v>769</v>
      </c>
      <c r="BJ65" s="14" t="s">
        <v>292</v>
      </c>
      <c r="BK65" s="14" t="s">
        <v>299</v>
      </c>
      <c r="BL65" s="14"/>
      <c r="BM65" s="14" t="s">
        <v>729</v>
      </c>
      <c r="BN65" s="14" t="s">
        <v>729</v>
      </c>
      <c r="BO65" s="14" t="s">
        <v>298</v>
      </c>
      <c r="BP65" s="14" t="s">
        <v>301</v>
      </c>
      <c r="BQ65" s="25"/>
    </row>
    <row r="66" spans="1:69" ht="15.6" x14ac:dyDescent="0.3">
      <c r="A66" t="s">
        <v>330</v>
      </c>
      <c r="B66" t="s">
        <v>149</v>
      </c>
      <c r="C66" s="3">
        <f>C56*0.5</f>
        <v>3.3309510000000002</v>
      </c>
      <c r="D66" s="3"/>
      <c r="F66" s="3"/>
      <c r="G66" s="3"/>
      <c r="I66" s="3"/>
      <c r="J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B66" t="s">
        <v>68</v>
      </c>
      <c r="AC66" s="3">
        <f>AC62</f>
        <v>2.5833333333333335</v>
      </c>
      <c r="AD66" s="3">
        <f>AD51*0.34</f>
        <v>3.5618301898848004</v>
      </c>
      <c r="AH66" s="3"/>
      <c r="AI66" s="3"/>
      <c r="BD66" s="1" t="s">
        <v>627</v>
      </c>
      <c r="BE66" s="1" t="s">
        <v>625</v>
      </c>
      <c r="BF66" s="1" t="s">
        <v>631</v>
      </c>
      <c r="BG66" s="1" t="s">
        <v>295</v>
      </c>
      <c r="BH66" s="14" t="s">
        <v>295</v>
      </c>
      <c r="BI66" s="14" t="s">
        <v>305</v>
      </c>
      <c r="BJ66" s="14" t="s">
        <v>296</v>
      </c>
      <c r="BK66" s="14" t="s">
        <v>300</v>
      </c>
      <c r="BL66" s="19" t="s">
        <v>724</v>
      </c>
      <c r="BM66" s="19" t="s">
        <v>769</v>
      </c>
      <c r="BN66" s="19" t="s">
        <v>730</v>
      </c>
      <c r="BO66" s="14" t="s">
        <v>297</v>
      </c>
      <c r="BP66" s="14" t="s">
        <v>297</v>
      </c>
      <c r="BQ66" s="25"/>
    </row>
    <row r="67" spans="1:69" x14ac:dyDescent="0.25">
      <c r="A67" t="s">
        <v>331</v>
      </c>
      <c r="B67" t="s">
        <v>50</v>
      </c>
      <c r="C67" s="3">
        <f>C66/3.14159</f>
        <v>1.0602755292702104</v>
      </c>
      <c r="D67" s="3"/>
      <c r="F67" s="3"/>
      <c r="G67" s="3"/>
      <c r="I67" s="3"/>
      <c r="J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B67" t="s">
        <v>69</v>
      </c>
      <c r="AC67" s="3">
        <f>AC66/3.14159</f>
        <v>0.82230123387626441</v>
      </c>
      <c r="AD67" s="3">
        <f>AD66/3.14159</f>
        <v>1.1337667200000001</v>
      </c>
      <c r="AH67" s="3"/>
      <c r="AI67" s="3"/>
      <c r="BD67" t="s">
        <v>549</v>
      </c>
      <c r="BE67" t="s">
        <v>308</v>
      </c>
      <c r="BF67" s="12">
        <f>BF42*0.375</f>
        <v>6.5624999999999989E-2</v>
      </c>
      <c r="BG67" s="12">
        <f>BF67/3.14159</f>
        <v>2.088910392508252E-2</v>
      </c>
      <c r="BH67" s="11">
        <v>2.5000000000000001E-2</v>
      </c>
      <c r="BI67" s="18"/>
      <c r="BJ67" s="38">
        <v>0</v>
      </c>
      <c r="BK67" s="12">
        <f>BH67*12.6</f>
        <v>0.315</v>
      </c>
      <c r="BL67" s="22">
        <f>BK67/0.03125</f>
        <v>10.08</v>
      </c>
      <c r="BM67" s="23" t="s">
        <v>725</v>
      </c>
      <c r="BN67" s="21"/>
      <c r="BO67" s="38">
        <v>0</v>
      </c>
      <c r="BP67" s="38">
        <v>0</v>
      </c>
      <c r="BQ67" s="20"/>
    </row>
    <row r="68" spans="1:69" x14ac:dyDescent="0.25">
      <c r="A68" t="s">
        <v>332</v>
      </c>
      <c r="B68" t="s">
        <v>334</v>
      </c>
      <c r="C68" s="3">
        <f>C62*0.5</f>
        <v>1.8505283333333333</v>
      </c>
      <c r="D68" s="3"/>
      <c r="F68" s="3"/>
      <c r="G68" s="3"/>
      <c r="I68" s="3"/>
      <c r="J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B68" t="s">
        <v>55</v>
      </c>
      <c r="AC68" s="3">
        <f>AC52*0.6</f>
        <v>6</v>
      </c>
      <c r="AD68" s="3">
        <f>AD51</f>
        <v>10.475971146720001</v>
      </c>
      <c r="AH68" s="3"/>
      <c r="AI68" s="3"/>
      <c r="BD68" t="s">
        <v>550</v>
      </c>
      <c r="BE68" t="s">
        <v>309</v>
      </c>
      <c r="BF68" s="12">
        <f>BF42*0.25</f>
        <v>4.3749999999999997E-2</v>
      </c>
      <c r="BG68" s="12">
        <f t="shared" ref="BG68:BG131" si="21">BF68/3.14159</f>
        <v>1.3926069283388347E-2</v>
      </c>
      <c r="BH68" s="11">
        <v>1.2E-2</v>
      </c>
      <c r="BI68" s="18"/>
      <c r="BJ68" s="38">
        <v>0</v>
      </c>
      <c r="BK68" s="12">
        <f t="shared" ref="BK68:BK131" si="22">BH68*12.6</f>
        <v>0.1512</v>
      </c>
      <c r="BL68" s="22">
        <f t="shared" ref="BL68:BL131" si="23">BK68/0.03125</f>
        <v>4.8384</v>
      </c>
      <c r="BM68" s="23" t="s">
        <v>726</v>
      </c>
      <c r="BN68" s="21"/>
      <c r="BO68" s="38">
        <v>0</v>
      </c>
      <c r="BP68" s="38">
        <v>0</v>
      </c>
      <c r="BQ68" s="20"/>
    </row>
    <row r="69" spans="1:69" x14ac:dyDescent="0.25">
      <c r="A69" t="s">
        <v>333</v>
      </c>
      <c r="B69" t="s">
        <v>50</v>
      </c>
      <c r="C69" s="3">
        <f>C68*0.5</f>
        <v>0.92526416666666667</v>
      </c>
      <c r="D69" s="3"/>
      <c r="F69" s="3"/>
      <c r="G69" s="3"/>
      <c r="I69" s="3"/>
      <c r="J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B69" t="s">
        <v>56</v>
      </c>
      <c r="AC69" s="3">
        <f>AC68/3.14159</f>
        <v>1.9098609302932592</v>
      </c>
      <c r="AD69" s="3">
        <f>AD68/3.14159</f>
        <v>3.3346080000000002</v>
      </c>
      <c r="AH69" s="3"/>
      <c r="AI69" s="3"/>
      <c r="BD69" t="s">
        <v>551</v>
      </c>
      <c r="BE69" t="s">
        <v>310</v>
      </c>
      <c r="BF69" s="12">
        <f>BF42*0.4</f>
        <v>6.9999999999999993E-2</v>
      </c>
      <c r="BG69" s="12">
        <f t="shared" si="21"/>
        <v>2.2281710853421354E-2</v>
      </c>
      <c r="BH69" s="11">
        <v>2.5000000000000001E-2</v>
      </c>
      <c r="BI69" s="18"/>
      <c r="BJ69" s="38">
        <v>0</v>
      </c>
      <c r="BK69" s="12">
        <f t="shared" si="22"/>
        <v>0.315</v>
      </c>
      <c r="BL69" s="22">
        <f t="shared" si="23"/>
        <v>10.08</v>
      </c>
      <c r="BM69" s="23" t="s">
        <v>725</v>
      </c>
      <c r="BN69" s="21"/>
      <c r="BO69" s="38">
        <v>0</v>
      </c>
      <c r="BP69" s="38">
        <v>0</v>
      </c>
      <c r="BQ69" s="20"/>
    </row>
    <row r="70" spans="1:69" x14ac:dyDescent="0.25">
      <c r="A70" t="s">
        <v>60</v>
      </c>
      <c r="B70" t="s">
        <v>64</v>
      </c>
      <c r="C70" s="3">
        <f>C58/3</f>
        <v>2.467371111111111</v>
      </c>
      <c r="D70" s="3"/>
      <c r="E70" t="s">
        <v>124</v>
      </c>
      <c r="F70" s="3">
        <f>C55*0.5</f>
        <v>3.7010566666666667</v>
      </c>
      <c r="G70" s="3"/>
      <c r="I70" s="3"/>
      <c r="J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B70" t="s">
        <v>57</v>
      </c>
      <c r="AC70" s="3">
        <f>AC54*0.6</f>
        <v>6.2</v>
      </c>
      <c r="AD70" s="3">
        <f>AD51</f>
        <v>10.475971146720001</v>
      </c>
      <c r="AH70" s="3"/>
      <c r="AI70" s="3"/>
      <c r="BD70" t="s">
        <v>552</v>
      </c>
      <c r="BE70" t="s">
        <v>311</v>
      </c>
      <c r="BF70" s="12">
        <f>BF42*0.5</f>
        <v>8.7499999999999994E-2</v>
      </c>
      <c r="BG70" s="12">
        <f t="shared" si="21"/>
        <v>2.7852138566776694E-2</v>
      </c>
      <c r="BH70" s="11">
        <v>2.5000000000000001E-2</v>
      </c>
      <c r="BI70" s="18"/>
      <c r="BJ70" s="38">
        <v>0</v>
      </c>
      <c r="BK70" s="12">
        <f t="shared" si="22"/>
        <v>0.315</v>
      </c>
      <c r="BL70" s="22">
        <f t="shared" si="23"/>
        <v>10.08</v>
      </c>
      <c r="BM70" s="23" t="s">
        <v>725</v>
      </c>
      <c r="BN70" s="21"/>
      <c r="BO70" s="38">
        <v>0</v>
      </c>
      <c r="BP70" s="38">
        <v>0</v>
      </c>
      <c r="BQ70" s="20"/>
    </row>
    <row r="71" spans="1:69" x14ac:dyDescent="0.25">
      <c r="A71" t="s">
        <v>61</v>
      </c>
      <c r="B71" t="s">
        <v>50</v>
      </c>
      <c r="C71" s="3">
        <f>C70/3.14159</f>
        <v>0.78538928094089655</v>
      </c>
      <c r="D71" s="3"/>
      <c r="E71" t="s">
        <v>50</v>
      </c>
      <c r="F71" s="3">
        <f>F70/3.14159</f>
        <v>1.1780839214113448</v>
      </c>
      <c r="G71" s="3"/>
      <c r="I71" s="3"/>
      <c r="J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B71" t="s">
        <v>58</v>
      </c>
      <c r="AC71" s="3">
        <f>AC70/3.14159</f>
        <v>1.9735229613030345</v>
      </c>
      <c r="AD71" s="3">
        <f>AD70/3.14159</f>
        <v>3.3346080000000002</v>
      </c>
      <c r="AH71" s="3"/>
      <c r="AI71" s="3"/>
      <c r="BD71" t="s">
        <v>553</v>
      </c>
      <c r="BE71" t="s">
        <v>335</v>
      </c>
      <c r="BF71" s="12">
        <f>BF42*0.66</f>
        <v>0.11549999999999999</v>
      </c>
      <c r="BG71" s="12">
        <f t="shared" si="21"/>
        <v>3.6764822908145235E-2</v>
      </c>
      <c r="BH71" s="11">
        <v>3.5000000000000003E-2</v>
      </c>
      <c r="BI71" s="18"/>
      <c r="BJ71" s="38">
        <v>0</v>
      </c>
      <c r="BK71" s="12">
        <f t="shared" si="22"/>
        <v>0.441</v>
      </c>
      <c r="BL71" s="22">
        <f t="shared" si="23"/>
        <v>14.112</v>
      </c>
      <c r="BM71" s="35" t="s">
        <v>775</v>
      </c>
      <c r="BN71" s="21"/>
      <c r="BO71" s="38">
        <v>0</v>
      </c>
      <c r="BP71" s="38">
        <v>0</v>
      </c>
    </row>
    <row r="72" spans="1:69" x14ac:dyDescent="0.25">
      <c r="A72" t="s">
        <v>62</v>
      </c>
      <c r="B72" t="s">
        <v>65</v>
      </c>
      <c r="C72" s="3">
        <f>C62/2</f>
        <v>1.8505283333333333</v>
      </c>
      <c r="D72" s="3"/>
      <c r="E72" t="s">
        <v>141</v>
      </c>
      <c r="F72" s="3">
        <f>C55*0.44</f>
        <v>3.2569298666666668</v>
      </c>
      <c r="G72" s="3"/>
      <c r="I72" s="3"/>
      <c r="J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B72" t="s">
        <v>71</v>
      </c>
      <c r="AC72" s="3">
        <f>AC52*0.5</f>
        <v>5</v>
      </c>
      <c r="AD72" s="3">
        <f>AD51*0.8</f>
        <v>8.3807769173760018</v>
      </c>
      <c r="AH72" s="3"/>
      <c r="AI72" s="3"/>
      <c r="BD72" t="s">
        <v>554</v>
      </c>
      <c r="BE72" t="s">
        <v>309</v>
      </c>
      <c r="BF72" s="12">
        <f>BF42*0.25</f>
        <v>4.3749999999999997E-2</v>
      </c>
      <c r="BG72" s="12">
        <f t="shared" si="21"/>
        <v>1.3926069283388347E-2</v>
      </c>
      <c r="BH72" s="11">
        <v>1.2E-2</v>
      </c>
      <c r="BI72" s="18"/>
      <c r="BJ72" s="38">
        <v>0</v>
      </c>
      <c r="BK72" s="12">
        <f t="shared" si="22"/>
        <v>0.1512</v>
      </c>
      <c r="BL72" s="22">
        <f t="shared" si="23"/>
        <v>4.8384</v>
      </c>
      <c r="BM72" s="23" t="s">
        <v>726</v>
      </c>
      <c r="BN72" s="21"/>
      <c r="BO72" s="38">
        <v>0</v>
      </c>
      <c r="BP72" s="38">
        <v>0</v>
      </c>
    </row>
    <row r="73" spans="1:69" x14ac:dyDescent="0.25">
      <c r="A73" t="s">
        <v>63</v>
      </c>
      <c r="B73" t="s">
        <v>50</v>
      </c>
      <c r="C73" s="3">
        <f>C72/3.14159</f>
        <v>0.58904196070567238</v>
      </c>
      <c r="D73" s="3"/>
      <c r="E73" t="s">
        <v>50</v>
      </c>
      <c r="F73" s="3">
        <f>F72/3.14159</f>
        <v>1.0367138508419835</v>
      </c>
      <c r="G73" s="3"/>
      <c r="I73" s="3"/>
      <c r="J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B73" t="s">
        <v>72</v>
      </c>
      <c r="AC73" s="3">
        <f>AC72/3.14159</f>
        <v>1.5915507752443827</v>
      </c>
      <c r="AD73" s="3">
        <f>AD72/3.14159</f>
        <v>2.6676864000000009</v>
      </c>
      <c r="AH73" s="3"/>
      <c r="AI73" s="3"/>
      <c r="BD73" t="s">
        <v>555</v>
      </c>
      <c r="BE73" t="s">
        <v>326</v>
      </c>
      <c r="BF73" s="12">
        <f>BF42*0.45</f>
        <v>7.8750000000000001E-2</v>
      </c>
      <c r="BG73" s="12">
        <f t="shared" si="21"/>
        <v>2.5066924710099029E-2</v>
      </c>
      <c r="BH73" s="11">
        <v>2.5000000000000001E-2</v>
      </c>
      <c r="BI73" s="18"/>
      <c r="BJ73" s="38">
        <v>0</v>
      </c>
      <c r="BK73" s="12">
        <f t="shared" si="22"/>
        <v>0.315</v>
      </c>
      <c r="BL73" s="22">
        <f t="shared" si="23"/>
        <v>10.08</v>
      </c>
      <c r="BM73" s="23" t="s">
        <v>725</v>
      </c>
      <c r="BN73" s="21"/>
      <c r="BO73" s="38">
        <v>0</v>
      </c>
      <c r="BP73" s="38">
        <v>0</v>
      </c>
    </row>
    <row r="74" spans="1:69" x14ac:dyDescent="0.25">
      <c r="A74" t="s">
        <v>67</v>
      </c>
      <c r="B74" t="s">
        <v>145</v>
      </c>
      <c r="C74" s="3">
        <f>C70</f>
        <v>2.467371111111111</v>
      </c>
      <c r="D74" s="3"/>
      <c r="E74" t="s">
        <v>127</v>
      </c>
      <c r="F74" s="3">
        <f>C55*0.6</f>
        <v>4.441268</v>
      </c>
      <c r="G74" s="3"/>
      <c r="I74" s="3"/>
      <c r="J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B74" t="s">
        <v>133</v>
      </c>
      <c r="AC74" s="3">
        <f>AC72*0.5</f>
        <v>2.5</v>
      </c>
      <c r="AD74" s="3">
        <f>AD51*0.3</f>
        <v>3.142791344016</v>
      </c>
      <c r="AH74" s="3"/>
      <c r="AI74" s="3"/>
      <c r="BD74" t="s">
        <v>556</v>
      </c>
      <c r="BE74" t="s">
        <v>321</v>
      </c>
      <c r="BF74" s="12">
        <f>BF42*0.55</f>
        <v>9.6250000000000002E-2</v>
      </c>
      <c r="BG74" s="12">
        <f t="shared" si="21"/>
        <v>3.0637352423454368E-2</v>
      </c>
      <c r="BH74" s="11">
        <v>3.5000000000000003E-2</v>
      </c>
      <c r="BI74" s="18"/>
      <c r="BJ74" s="38">
        <v>0</v>
      </c>
      <c r="BK74" s="12"/>
      <c r="BL74" s="22"/>
      <c r="BM74" s="21"/>
      <c r="BN74" s="21"/>
      <c r="BQ74" s="20"/>
    </row>
    <row r="75" spans="1:69" x14ac:dyDescent="0.25">
      <c r="A75" t="s">
        <v>66</v>
      </c>
      <c r="B75" t="s">
        <v>50</v>
      </c>
      <c r="C75" s="3">
        <f>C74/3.14159</f>
        <v>0.78538928094089655</v>
      </c>
      <c r="D75" s="3"/>
      <c r="E75" t="s">
        <v>50</v>
      </c>
      <c r="F75" s="3">
        <f>F74/3.14159</f>
        <v>1.4137007056936137</v>
      </c>
      <c r="G75" s="3"/>
      <c r="I75" s="3"/>
      <c r="J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B75" t="s">
        <v>134</v>
      </c>
      <c r="AC75" s="3">
        <f>AC74/3.14159</f>
        <v>0.79577538762219135</v>
      </c>
      <c r="AD75" s="3">
        <f>AD74/3.14159</f>
        <v>1.0003824000000001</v>
      </c>
      <c r="AH75" s="3"/>
      <c r="AI75" s="3"/>
      <c r="BD75" t="s">
        <v>557</v>
      </c>
      <c r="BE75" t="s">
        <v>350</v>
      </c>
      <c r="BF75" s="12">
        <f>BF41*0.36</f>
        <v>5.7599999999999998E-2</v>
      </c>
      <c r="BG75" s="12">
        <f t="shared" si="21"/>
        <v>1.8334664930815286E-2</v>
      </c>
      <c r="BH75" s="11">
        <v>1.7999999999999999E-2</v>
      </c>
      <c r="BI75" s="18"/>
      <c r="BJ75" s="38">
        <v>0</v>
      </c>
      <c r="BK75" s="12">
        <f t="shared" si="22"/>
        <v>0.22679999999999997</v>
      </c>
      <c r="BL75" s="22">
        <f t="shared" si="23"/>
        <v>7.2575999999999992</v>
      </c>
      <c r="BM75" s="35" t="s">
        <v>775</v>
      </c>
      <c r="BN75" s="36" t="s">
        <v>727</v>
      </c>
      <c r="BO75" s="38">
        <v>0</v>
      </c>
      <c r="BP75" s="38">
        <v>0</v>
      </c>
      <c r="BQ75" s="20"/>
    </row>
    <row r="76" spans="1:69" x14ac:dyDescent="0.25">
      <c r="A76" t="s">
        <v>68</v>
      </c>
      <c r="B76" t="s">
        <v>146</v>
      </c>
      <c r="C76" s="3">
        <f>C72</f>
        <v>1.8505283333333333</v>
      </c>
      <c r="D76" s="3"/>
      <c r="E76" t="s">
        <v>142</v>
      </c>
      <c r="F76" s="3">
        <f>C55*0.34</f>
        <v>2.5167185333333335</v>
      </c>
      <c r="G76" s="3"/>
      <c r="I76" s="3"/>
      <c r="J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B76" t="s">
        <v>74</v>
      </c>
      <c r="AC76" s="3">
        <f>AC52*0.44</f>
        <v>4.4000000000000004</v>
      </c>
      <c r="AD76" s="3">
        <f>AD51*0.4</f>
        <v>4.1903884586880009</v>
      </c>
      <c r="AH76" s="3"/>
      <c r="AI76" s="3"/>
      <c r="BD76" t="s">
        <v>558</v>
      </c>
      <c r="BE76" t="s">
        <v>346</v>
      </c>
      <c r="BF76" s="12">
        <f>BF41*0.45</f>
        <v>7.2000000000000008E-2</v>
      </c>
      <c r="BG76" s="12">
        <f t="shared" si="21"/>
        <v>2.2918331163519112E-2</v>
      </c>
      <c r="BH76" s="11">
        <v>2.5000000000000001E-2</v>
      </c>
      <c r="BI76" s="18"/>
      <c r="BJ76" s="38">
        <v>0</v>
      </c>
      <c r="BK76" s="12">
        <f t="shared" si="22"/>
        <v>0.315</v>
      </c>
      <c r="BL76" s="22">
        <f t="shared" si="23"/>
        <v>10.08</v>
      </c>
      <c r="BM76" s="23" t="s">
        <v>725</v>
      </c>
      <c r="BN76" s="21"/>
      <c r="BO76" s="38">
        <v>0</v>
      </c>
      <c r="BP76" s="38">
        <v>0</v>
      </c>
      <c r="BQ76" s="20"/>
    </row>
    <row r="77" spans="1:69" x14ac:dyDescent="0.25">
      <c r="A77" t="s">
        <v>69</v>
      </c>
      <c r="B77" t="s">
        <v>50</v>
      </c>
      <c r="C77" s="3">
        <f>C76/3.14159</f>
        <v>0.58904196070567238</v>
      </c>
      <c r="D77" s="3"/>
      <c r="E77" t="s">
        <v>50</v>
      </c>
      <c r="F77" s="3">
        <f>F76/3.14159</f>
        <v>0.80109706655971458</v>
      </c>
      <c r="G77" s="3"/>
      <c r="I77" s="3"/>
      <c r="J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B77" t="s">
        <v>75</v>
      </c>
      <c r="AC77" s="3">
        <f>AC76/3.14159</f>
        <v>1.4005646822150568</v>
      </c>
      <c r="AD77" s="3">
        <f>AD76/3.14159</f>
        <v>1.3338432000000005</v>
      </c>
      <c r="AH77" s="3"/>
      <c r="AI77" s="3"/>
      <c r="BD77" t="s">
        <v>559</v>
      </c>
      <c r="BE77" t="s">
        <v>350</v>
      </c>
      <c r="BF77" s="12">
        <f>BF41*0.36</f>
        <v>5.7599999999999998E-2</v>
      </c>
      <c r="BG77" s="12">
        <f t="shared" si="21"/>
        <v>1.8334664930815286E-2</v>
      </c>
      <c r="BH77" s="11">
        <v>1.7999999999999999E-2</v>
      </c>
      <c r="BI77" s="18"/>
      <c r="BJ77" s="38">
        <v>0</v>
      </c>
      <c r="BK77" s="12">
        <f t="shared" si="22"/>
        <v>0.22679999999999997</v>
      </c>
      <c r="BL77" s="22">
        <f t="shared" si="23"/>
        <v>7.2575999999999992</v>
      </c>
      <c r="BM77" s="35" t="s">
        <v>775</v>
      </c>
      <c r="BN77" s="36" t="s">
        <v>727</v>
      </c>
      <c r="BO77" s="38">
        <v>0</v>
      </c>
      <c r="BP77" s="38">
        <v>0</v>
      </c>
      <c r="BQ77" s="20"/>
    </row>
    <row r="78" spans="1:69" x14ac:dyDescent="0.25">
      <c r="A78" t="s">
        <v>55</v>
      </c>
      <c r="B78" t="s">
        <v>59</v>
      </c>
      <c r="C78" s="3">
        <f>C56*0.6</f>
        <v>3.9971412000000002</v>
      </c>
      <c r="D78" s="3"/>
      <c r="E78" t="s">
        <v>139</v>
      </c>
      <c r="F78" s="3">
        <f>C55</f>
        <v>7.4021133333333333</v>
      </c>
      <c r="G78" s="3"/>
      <c r="I78" s="3"/>
      <c r="J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B78" t="s">
        <v>76</v>
      </c>
      <c r="AC78" s="3">
        <f>AC76</f>
        <v>4.4000000000000004</v>
      </c>
      <c r="AD78" s="3">
        <f>AD51*0.5</f>
        <v>5.2379855733600005</v>
      </c>
      <c r="AH78" s="3"/>
      <c r="AI78" s="3"/>
      <c r="BD78" t="s">
        <v>560</v>
      </c>
      <c r="BE78" t="s">
        <v>352</v>
      </c>
      <c r="BF78" s="12">
        <f>BF41*0.2</f>
        <v>3.2000000000000001E-2</v>
      </c>
      <c r="BG78" s="12">
        <f t="shared" si="21"/>
        <v>1.018592496156405E-2</v>
      </c>
      <c r="BH78" s="11">
        <v>1.2E-2</v>
      </c>
      <c r="BI78" s="18"/>
      <c r="BJ78" s="38">
        <v>0</v>
      </c>
      <c r="BK78" s="12">
        <f t="shared" si="22"/>
        <v>0.1512</v>
      </c>
      <c r="BL78" s="22">
        <f t="shared" si="23"/>
        <v>4.8384</v>
      </c>
      <c r="BM78" s="23" t="s">
        <v>726</v>
      </c>
      <c r="BN78" s="15"/>
      <c r="BO78" s="38">
        <v>0</v>
      </c>
      <c r="BP78" s="38">
        <v>0</v>
      </c>
      <c r="BQ78" s="20"/>
    </row>
    <row r="79" spans="1:69" x14ac:dyDescent="0.25">
      <c r="A79" t="s">
        <v>56</v>
      </c>
      <c r="B79" t="s">
        <v>50</v>
      </c>
      <c r="C79" s="3">
        <f>C78/3.14159</f>
        <v>1.2723306351242525</v>
      </c>
      <c r="D79" s="3"/>
      <c r="E79" t="s">
        <v>50</v>
      </c>
      <c r="F79" s="3">
        <f>F78/3.14159</f>
        <v>2.3561678428226895</v>
      </c>
      <c r="G79" s="3"/>
      <c r="I79" s="3"/>
      <c r="J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B79" t="s">
        <v>77</v>
      </c>
      <c r="AC79" s="3">
        <f>AC78/3.14159</f>
        <v>1.4005646822150568</v>
      </c>
      <c r="AD79" s="3">
        <f>AD78/3.14159</f>
        <v>1.6673040000000001</v>
      </c>
      <c r="AH79" s="3"/>
      <c r="AI79" s="3"/>
      <c r="BD79" t="s">
        <v>561</v>
      </c>
      <c r="BE79" t="s">
        <v>723</v>
      </c>
      <c r="BF79" s="12">
        <f>BF42*0.18</f>
        <v>3.15E-2</v>
      </c>
      <c r="BG79" s="12">
        <f t="shared" si="21"/>
        <v>1.002676988403961E-2</v>
      </c>
      <c r="BH79" s="11">
        <v>1.2E-2</v>
      </c>
      <c r="BI79" s="18"/>
      <c r="BJ79" s="38">
        <v>0</v>
      </c>
      <c r="BK79" s="12">
        <f t="shared" si="22"/>
        <v>0.1512</v>
      </c>
      <c r="BL79" s="22">
        <f t="shared" si="23"/>
        <v>4.8384</v>
      </c>
      <c r="BM79" s="23" t="s">
        <v>726</v>
      </c>
      <c r="BN79" s="15"/>
      <c r="BO79" s="38">
        <v>0</v>
      </c>
      <c r="BP79" s="38">
        <v>0</v>
      </c>
      <c r="BQ79" s="20"/>
    </row>
    <row r="80" spans="1:69" x14ac:dyDescent="0.25">
      <c r="A80" t="s">
        <v>57</v>
      </c>
      <c r="B80" t="s">
        <v>59</v>
      </c>
      <c r="C80" s="3">
        <f>C58*0.6</f>
        <v>4.441268</v>
      </c>
      <c r="D80" s="3"/>
      <c r="E80" t="s">
        <v>139</v>
      </c>
      <c r="F80" s="3">
        <f>C55</f>
        <v>7.4021133333333333</v>
      </c>
      <c r="G80" s="3"/>
      <c r="I80" s="3"/>
      <c r="J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B80" t="s">
        <v>131</v>
      </c>
      <c r="AC80" s="3">
        <f>AC78*0.5</f>
        <v>2.2000000000000002</v>
      </c>
      <c r="AD80" s="3">
        <f>AD51*0.3</f>
        <v>3.142791344016</v>
      </c>
      <c r="AH80" s="3"/>
      <c r="AI80" s="3"/>
      <c r="BD80" t="s">
        <v>562</v>
      </c>
      <c r="BE80" t="s">
        <v>312</v>
      </c>
      <c r="BF80" s="12">
        <f>BF44*0.66</f>
        <v>5.7749999999999996E-2</v>
      </c>
      <c r="BG80" s="12">
        <f t="shared" si="21"/>
        <v>1.8382411454072618E-2</v>
      </c>
      <c r="BH80" s="11">
        <v>1.7999999999999999E-2</v>
      </c>
      <c r="BI80" s="18"/>
      <c r="BJ80" s="38">
        <v>0</v>
      </c>
      <c r="BK80" s="12">
        <f t="shared" si="22"/>
        <v>0.22679999999999997</v>
      </c>
      <c r="BL80" s="22">
        <f t="shared" si="23"/>
        <v>7.2575999999999992</v>
      </c>
      <c r="BM80" s="35" t="s">
        <v>775</v>
      </c>
      <c r="BN80" s="36" t="s">
        <v>727</v>
      </c>
      <c r="BO80" s="38">
        <v>0</v>
      </c>
      <c r="BP80" s="38">
        <v>0</v>
      </c>
      <c r="BQ80" s="20"/>
    </row>
    <row r="81" spans="1:69" x14ac:dyDescent="0.25">
      <c r="A81" t="s">
        <v>58</v>
      </c>
      <c r="B81" t="s">
        <v>50</v>
      </c>
      <c r="C81" s="3">
        <f>C80/3.14159</f>
        <v>1.4137007056936137</v>
      </c>
      <c r="D81" s="3"/>
      <c r="E81" t="s">
        <v>50</v>
      </c>
      <c r="F81" s="3">
        <f>F80/3.14159</f>
        <v>2.3561678428226895</v>
      </c>
      <c r="G81" s="3"/>
      <c r="I81" s="3"/>
      <c r="J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B81" t="s">
        <v>131</v>
      </c>
      <c r="AC81" s="3">
        <f>AC80/3.14159</f>
        <v>0.70028234110752841</v>
      </c>
      <c r="AD81" s="3">
        <f>AD80/3.14159</f>
        <v>1.0003824000000001</v>
      </c>
      <c r="AH81" s="3"/>
      <c r="AI81" s="3"/>
      <c r="BD81" t="s">
        <v>563</v>
      </c>
      <c r="BE81" t="s">
        <v>313</v>
      </c>
      <c r="BF81" s="12">
        <f>BF44*0.165</f>
        <v>1.4437499999999999E-2</v>
      </c>
      <c r="BG81" s="12">
        <f t="shared" si="21"/>
        <v>4.5956028635181544E-3</v>
      </c>
      <c r="BH81" s="11">
        <v>8.0000000000000002E-3</v>
      </c>
      <c r="BI81" s="18"/>
      <c r="BJ81" s="38">
        <v>0</v>
      </c>
      <c r="BK81" s="12">
        <f t="shared" si="22"/>
        <v>0.1008</v>
      </c>
      <c r="BL81" s="22">
        <f t="shared" si="23"/>
        <v>3.2256</v>
      </c>
      <c r="BM81" s="23" t="s">
        <v>728</v>
      </c>
      <c r="BN81" s="21"/>
      <c r="BO81" s="38">
        <v>0</v>
      </c>
      <c r="BP81" s="38">
        <v>0</v>
      </c>
      <c r="BQ81" s="20"/>
    </row>
    <row r="82" spans="1:69" x14ac:dyDescent="0.25">
      <c r="A82" t="s">
        <v>71</v>
      </c>
      <c r="B82" t="s">
        <v>70</v>
      </c>
      <c r="C82" s="3">
        <f>C56*0.5</f>
        <v>3.3309510000000002</v>
      </c>
      <c r="D82" s="3"/>
      <c r="E82" t="s">
        <v>123</v>
      </c>
      <c r="F82" s="3">
        <f>C55*0.8</f>
        <v>5.9216906666666667</v>
      </c>
      <c r="G82" s="3"/>
      <c r="I82" s="3"/>
      <c r="J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B82" t="s">
        <v>125</v>
      </c>
      <c r="AC82" s="3">
        <f>AC56*0.75</f>
        <v>3.75</v>
      </c>
      <c r="AD82" s="3">
        <f>AD51*0.6</f>
        <v>6.285582688032</v>
      </c>
      <c r="AH82" s="3"/>
      <c r="AI82" s="3"/>
      <c r="BD82" t="s">
        <v>564</v>
      </c>
      <c r="BE82" t="s">
        <v>312</v>
      </c>
      <c r="BF82" s="12">
        <f>BF44*0.66</f>
        <v>5.7749999999999996E-2</v>
      </c>
      <c r="BG82" s="12">
        <f t="shared" si="21"/>
        <v>1.8382411454072618E-2</v>
      </c>
      <c r="BH82" s="11">
        <v>1.7999999999999999E-2</v>
      </c>
      <c r="BI82" s="18"/>
      <c r="BJ82" s="38">
        <v>0</v>
      </c>
      <c r="BK82" s="12">
        <f>BH82*12.6</f>
        <v>0.22679999999999997</v>
      </c>
      <c r="BL82" s="22">
        <f t="shared" si="23"/>
        <v>7.2575999999999992</v>
      </c>
      <c r="BM82" s="35" t="s">
        <v>775</v>
      </c>
      <c r="BN82" s="36" t="s">
        <v>727</v>
      </c>
      <c r="BO82" s="38">
        <v>0</v>
      </c>
      <c r="BP82" s="38">
        <v>0</v>
      </c>
      <c r="BQ82" s="20"/>
    </row>
    <row r="83" spans="1:69" x14ac:dyDescent="0.25">
      <c r="A83" t="s">
        <v>72</v>
      </c>
      <c r="B83" t="s">
        <v>50</v>
      </c>
      <c r="C83" s="3">
        <f>C82/3.14159</f>
        <v>1.0602755292702104</v>
      </c>
      <c r="D83" s="3"/>
      <c r="E83" t="s">
        <v>50</v>
      </c>
      <c r="F83" s="3">
        <f>F82/3.14159</f>
        <v>1.8849342742581516</v>
      </c>
      <c r="G83" s="3"/>
      <c r="I83" s="3"/>
      <c r="J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B83" t="s">
        <v>126</v>
      </c>
      <c r="AC83" s="3">
        <f>AC82/3.14159</f>
        <v>1.1936630814332869</v>
      </c>
      <c r="AD83" s="3">
        <f>AD82/3.14159</f>
        <v>2.0007648000000002</v>
      </c>
      <c r="AH83" s="3"/>
      <c r="AI83" s="3"/>
      <c r="BD83" t="s">
        <v>565</v>
      </c>
      <c r="BE83" t="s">
        <v>314</v>
      </c>
      <c r="BF83" s="12">
        <f>BF82*0.66</f>
        <v>3.8114999999999996E-2</v>
      </c>
      <c r="BG83" s="12">
        <f t="shared" si="21"/>
        <v>1.2132391559687927E-2</v>
      </c>
      <c r="BH83" s="11">
        <v>1.2E-2</v>
      </c>
      <c r="BI83" s="18"/>
      <c r="BJ83" s="38">
        <v>0</v>
      </c>
      <c r="BK83" s="12">
        <f t="shared" si="22"/>
        <v>0.1512</v>
      </c>
      <c r="BL83" s="22">
        <f t="shared" si="23"/>
        <v>4.8384</v>
      </c>
      <c r="BM83" s="23" t="s">
        <v>726</v>
      </c>
      <c r="BN83" s="21"/>
      <c r="BO83" s="38">
        <v>0</v>
      </c>
      <c r="BP83" s="38">
        <v>0</v>
      </c>
      <c r="BQ83" s="20"/>
    </row>
    <row r="84" spans="1:69" x14ac:dyDescent="0.25">
      <c r="A84" t="s">
        <v>133</v>
      </c>
      <c r="B84" t="s">
        <v>153</v>
      </c>
      <c r="C84" s="3">
        <f>C82*0.5</f>
        <v>1.6654755000000001</v>
      </c>
      <c r="D84" s="3"/>
      <c r="E84" t="s">
        <v>132</v>
      </c>
      <c r="F84" s="3">
        <f>C55*0.3</f>
        <v>2.220634</v>
      </c>
      <c r="G84" s="3"/>
      <c r="I84" s="3"/>
      <c r="J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B84" t="s">
        <v>136</v>
      </c>
      <c r="AC84" s="3">
        <f>AC82*0.5</f>
        <v>1.875</v>
      </c>
      <c r="AD84" s="3">
        <f>AD51*0.55</f>
        <v>5.7617841306960011</v>
      </c>
      <c r="AH84" s="3"/>
      <c r="AI84" s="3"/>
      <c r="BD84" t="s">
        <v>566</v>
      </c>
      <c r="BE84" t="s">
        <v>322</v>
      </c>
      <c r="BF84" s="12">
        <f>BF74</f>
        <v>9.6250000000000002E-2</v>
      </c>
      <c r="BG84" s="12">
        <f t="shared" si="21"/>
        <v>3.0637352423454368E-2</v>
      </c>
      <c r="BH84" s="11">
        <v>3.5000000000000003E-2</v>
      </c>
      <c r="BI84" s="18"/>
      <c r="BJ84" s="38">
        <v>0</v>
      </c>
      <c r="BK84" s="12">
        <f t="shared" si="22"/>
        <v>0.441</v>
      </c>
      <c r="BL84" s="22">
        <f t="shared" si="23"/>
        <v>14.112</v>
      </c>
      <c r="BM84" s="35" t="s">
        <v>775</v>
      </c>
      <c r="BN84" s="21"/>
      <c r="BO84" s="38">
        <v>0</v>
      </c>
      <c r="BP84" s="38">
        <v>0</v>
      </c>
      <c r="BQ84" s="20"/>
    </row>
    <row r="85" spans="1:69" x14ac:dyDescent="0.25">
      <c r="A85" t="s">
        <v>134</v>
      </c>
      <c r="B85" t="s">
        <v>50</v>
      </c>
      <c r="C85" s="3">
        <f>C84/3.14159</f>
        <v>0.5301377646351052</v>
      </c>
      <c r="D85" s="3"/>
      <c r="E85" t="s">
        <v>50</v>
      </c>
      <c r="F85" s="3">
        <f>F84/3.14159</f>
        <v>0.70685035284680686</v>
      </c>
      <c r="G85" s="3"/>
      <c r="I85" s="3"/>
      <c r="J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B85" t="s">
        <v>135</v>
      </c>
      <c r="AC85" s="3">
        <f>AC84/3.14159</f>
        <v>0.59683154071664346</v>
      </c>
      <c r="AD85" s="3">
        <f>AD84/3.14159</f>
        <v>1.8340344000000004</v>
      </c>
      <c r="AH85" s="3"/>
      <c r="AI85" s="3"/>
      <c r="BD85" t="s">
        <v>567</v>
      </c>
      <c r="BE85" t="s">
        <v>315</v>
      </c>
      <c r="BF85" s="12">
        <f>BF44*0.9</f>
        <v>7.8750000000000001E-2</v>
      </c>
      <c r="BG85" s="12">
        <f t="shared" si="21"/>
        <v>2.5066924710099029E-2</v>
      </c>
      <c r="BH85" s="11">
        <v>2.5000000000000001E-2</v>
      </c>
      <c r="BI85" s="18"/>
      <c r="BJ85" s="38">
        <v>0</v>
      </c>
      <c r="BK85" s="12">
        <f t="shared" si="22"/>
        <v>0.315</v>
      </c>
      <c r="BL85" s="22">
        <f t="shared" si="23"/>
        <v>10.08</v>
      </c>
      <c r="BM85" s="23" t="s">
        <v>725</v>
      </c>
      <c r="BN85" s="21"/>
      <c r="BO85" s="38">
        <v>0</v>
      </c>
      <c r="BP85" s="38">
        <v>0</v>
      </c>
      <c r="BQ85" s="20"/>
    </row>
    <row r="86" spans="1:69" x14ac:dyDescent="0.25">
      <c r="A86" t="s">
        <v>74</v>
      </c>
      <c r="B86" t="s">
        <v>73</v>
      </c>
      <c r="C86" s="3">
        <f>C56*0.44</f>
        <v>2.9312368800000002</v>
      </c>
      <c r="D86" s="3"/>
      <c r="E86" t="s">
        <v>122</v>
      </c>
      <c r="F86" s="3">
        <f>C55*0.4</f>
        <v>2.9608453333333333</v>
      </c>
      <c r="G86" s="3"/>
      <c r="I86" s="3"/>
      <c r="J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B86" t="s">
        <v>128</v>
      </c>
      <c r="AC86" s="3">
        <f>AC72*0.5</f>
        <v>2.5</v>
      </c>
      <c r="AD86" s="3">
        <f>AD51*0.53</f>
        <v>5.5522647077616005</v>
      </c>
      <c r="AH86" s="3"/>
      <c r="AI86" s="3"/>
      <c r="BD86" t="s">
        <v>568</v>
      </c>
      <c r="BE86" t="s">
        <v>317</v>
      </c>
      <c r="BF86" s="12">
        <f>BF44*0.45</f>
        <v>3.9375E-2</v>
      </c>
      <c r="BG86" s="12">
        <f t="shared" si="21"/>
        <v>1.2533462355049515E-2</v>
      </c>
      <c r="BH86" s="11">
        <v>1.2E-2</v>
      </c>
      <c r="BI86" s="18"/>
      <c r="BJ86" s="38">
        <v>0</v>
      </c>
      <c r="BK86" s="12">
        <f t="shared" si="22"/>
        <v>0.1512</v>
      </c>
      <c r="BL86" s="22">
        <f t="shared" si="23"/>
        <v>4.8384</v>
      </c>
      <c r="BM86" s="23" t="s">
        <v>726</v>
      </c>
      <c r="BN86" s="15"/>
      <c r="BO86" s="38">
        <v>0</v>
      </c>
      <c r="BP86" s="38">
        <v>0</v>
      </c>
      <c r="BQ86" s="20"/>
    </row>
    <row r="87" spans="1:69" x14ac:dyDescent="0.25">
      <c r="A87" t="s">
        <v>75</v>
      </c>
      <c r="B87" t="s">
        <v>50</v>
      </c>
      <c r="C87" s="3">
        <f>C86/3.14159</f>
        <v>0.93304246575778516</v>
      </c>
      <c r="D87" s="3"/>
      <c r="E87" t="s">
        <v>50</v>
      </c>
      <c r="F87" s="3">
        <f>F86/3.14159</f>
        <v>0.94246713712907582</v>
      </c>
      <c r="G87" s="3"/>
      <c r="I87" s="3"/>
      <c r="J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B87" t="s">
        <v>129</v>
      </c>
      <c r="AC87" s="3">
        <f>AC86/3.14159</f>
        <v>0.79577538762219135</v>
      </c>
      <c r="AD87" s="3">
        <f>AD86/3.14159</f>
        <v>1.7673422400000003</v>
      </c>
      <c r="AH87" s="3"/>
      <c r="AI87" s="3"/>
      <c r="BD87" t="s">
        <v>569</v>
      </c>
      <c r="BE87" t="s">
        <v>316</v>
      </c>
      <c r="BF87" s="12">
        <f>BF44*0.4</f>
        <v>3.4999999999999996E-2</v>
      </c>
      <c r="BG87" s="12">
        <f t="shared" si="21"/>
        <v>1.1140855426710677E-2</v>
      </c>
      <c r="BH87" s="11">
        <v>1.2E-2</v>
      </c>
      <c r="BI87" s="18"/>
      <c r="BJ87" s="38">
        <v>0</v>
      </c>
      <c r="BK87" s="12">
        <f t="shared" si="22"/>
        <v>0.1512</v>
      </c>
      <c r="BL87" s="22">
        <f t="shared" si="23"/>
        <v>4.8384</v>
      </c>
      <c r="BM87" s="23" t="s">
        <v>726</v>
      </c>
      <c r="BN87" s="15"/>
      <c r="BO87" s="38">
        <v>0</v>
      </c>
      <c r="BP87" s="38">
        <v>0</v>
      </c>
      <c r="BQ87" s="20"/>
    </row>
    <row r="88" spans="1:69" x14ac:dyDescent="0.25">
      <c r="A88" t="s">
        <v>76</v>
      </c>
      <c r="B88" t="s">
        <v>147</v>
      </c>
      <c r="C88" s="3">
        <f>C86</f>
        <v>2.9312368800000002</v>
      </c>
      <c r="D88" s="3"/>
      <c r="E88" t="s">
        <v>124</v>
      </c>
      <c r="F88" s="3">
        <f>C55*0.5</f>
        <v>3.7010566666666667</v>
      </c>
      <c r="G88" s="3"/>
      <c r="I88" s="3"/>
      <c r="J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B88" t="s">
        <v>78</v>
      </c>
      <c r="AC88" s="3">
        <f>AC68</f>
        <v>6</v>
      </c>
      <c r="AD88" s="3">
        <f>AD51*0.28</f>
        <v>2.9332719210816007</v>
      </c>
      <c r="AH88" s="3"/>
      <c r="AI88" s="3"/>
      <c r="BD88" t="s">
        <v>570</v>
      </c>
      <c r="BE88" t="s">
        <v>318</v>
      </c>
      <c r="BF88" s="12">
        <f>BF44*0.5</f>
        <v>4.3749999999999997E-2</v>
      </c>
      <c r="BG88" s="12">
        <f t="shared" si="21"/>
        <v>1.3926069283388347E-2</v>
      </c>
      <c r="BH88" s="11">
        <v>1.2E-2</v>
      </c>
      <c r="BI88" s="18"/>
      <c r="BJ88" s="38">
        <v>0</v>
      </c>
      <c r="BK88" s="12">
        <f t="shared" si="22"/>
        <v>0.1512</v>
      </c>
      <c r="BL88" s="22">
        <f t="shared" si="23"/>
        <v>4.8384</v>
      </c>
      <c r="BM88" s="23" t="s">
        <v>726</v>
      </c>
      <c r="BN88" s="15"/>
      <c r="BO88" s="38">
        <v>0</v>
      </c>
      <c r="BP88" s="38">
        <v>0</v>
      </c>
      <c r="BQ88" s="20"/>
    </row>
    <row r="89" spans="1:69" x14ac:dyDescent="0.25">
      <c r="A89" t="s">
        <v>77</v>
      </c>
      <c r="B89" t="s">
        <v>50</v>
      </c>
      <c r="C89" s="3">
        <f>C88/3.14159</f>
        <v>0.93304246575778516</v>
      </c>
      <c r="D89" s="3"/>
      <c r="E89" t="s">
        <v>50</v>
      </c>
      <c r="F89" s="3">
        <f>F88/3.14159</f>
        <v>1.1780839214113448</v>
      </c>
      <c r="G89" s="3"/>
      <c r="I89" s="3"/>
      <c r="J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B89" t="s">
        <v>79</v>
      </c>
      <c r="AC89" s="3">
        <f>AC88/3.14159</f>
        <v>1.9098609302932592</v>
      </c>
      <c r="AD89" s="3">
        <f>AD88/3.14159</f>
        <v>0.93369024000000023</v>
      </c>
      <c r="AH89" s="3"/>
      <c r="AI89" s="3"/>
      <c r="BD89" t="s">
        <v>571</v>
      </c>
      <c r="BE89" t="s">
        <v>324</v>
      </c>
      <c r="BF89" s="12">
        <f>BF44*0.25</f>
        <v>2.1874999999999999E-2</v>
      </c>
      <c r="BG89" s="12">
        <f t="shared" si="21"/>
        <v>6.9630346416941734E-3</v>
      </c>
      <c r="BH89" s="11">
        <v>8.0000000000000002E-3</v>
      </c>
      <c r="BI89" s="18"/>
      <c r="BJ89" s="38">
        <v>0</v>
      </c>
      <c r="BK89" s="12">
        <f t="shared" si="22"/>
        <v>0.1008</v>
      </c>
      <c r="BL89" s="22">
        <f t="shared" si="23"/>
        <v>3.2256</v>
      </c>
      <c r="BM89" s="23" t="s">
        <v>728</v>
      </c>
      <c r="BN89" s="15"/>
      <c r="BO89" s="38">
        <v>0</v>
      </c>
      <c r="BP89" s="38">
        <v>0</v>
      </c>
      <c r="BQ89" s="20"/>
    </row>
    <row r="90" spans="1:69" x14ac:dyDescent="0.25">
      <c r="A90" t="s">
        <v>131</v>
      </c>
      <c r="B90" t="s">
        <v>152</v>
      </c>
      <c r="C90" s="3">
        <f>C88*0.5</f>
        <v>1.4656184400000001</v>
      </c>
      <c r="D90" s="3"/>
      <c r="E90" t="s">
        <v>132</v>
      </c>
      <c r="F90" s="3">
        <f>C55*0.3</f>
        <v>2.220634</v>
      </c>
      <c r="G90" s="3"/>
      <c r="I90" s="3"/>
      <c r="J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B90" t="s">
        <v>80</v>
      </c>
      <c r="AC90" s="3">
        <f>AC70</f>
        <v>6.2</v>
      </c>
      <c r="AD90" s="3">
        <f>AD51*0.3</f>
        <v>3.142791344016</v>
      </c>
      <c r="AH90" s="3"/>
      <c r="AI90" s="3"/>
      <c r="BD90" t="s">
        <v>572</v>
      </c>
      <c r="BE90" t="s">
        <v>318</v>
      </c>
      <c r="BF90" s="12">
        <f>BF44*0.5</f>
        <v>4.3749999999999997E-2</v>
      </c>
      <c r="BG90" s="12">
        <f t="shared" si="21"/>
        <v>1.3926069283388347E-2</v>
      </c>
      <c r="BH90" s="11">
        <v>1.2E-2</v>
      </c>
      <c r="BI90" s="18"/>
      <c r="BJ90" s="38">
        <v>0</v>
      </c>
      <c r="BK90" s="12">
        <f t="shared" si="22"/>
        <v>0.1512</v>
      </c>
      <c r="BL90" s="22">
        <f t="shared" si="23"/>
        <v>4.8384</v>
      </c>
      <c r="BM90" s="23" t="s">
        <v>726</v>
      </c>
      <c r="BN90" s="15"/>
      <c r="BO90" s="38">
        <v>0</v>
      </c>
      <c r="BP90" s="38">
        <v>0</v>
      </c>
      <c r="BQ90" s="20"/>
    </row>
    <row r="91" spans="1:69" x14ac:dyDescent="0.25">
      <c r="A91" t="s">
        <v>131</v>
      </c>
      <c r="B91" t="s">
        <v>50</v>
      </c>
      <c r="C91" s="3">
        <f>C90/3.14159</f>
        <v>0.46652123287889258</v>
      </c>
      <c r="D91" s="3"/>
      <c r="E91" t="s">
        <v>50</v>
      </c>
      <c r="F91" s="3">
        <f>F90/3.14159</f>
        <v>0.70685035284680686</v>
      </c>
      <c r="G91" s="3"/>
      <c r="I91" s="3"/>
      <c r="J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X91" s="3"/>
      <c r="Y91" s="3"/>
      <c r="AB91" t="s">
        <v>81</v>
      </c>
      <c r="AC91" s="3">
        <f>AC90/3.14159</f>
        <v>1.9735229613030345</v>
      </c>
      <c r="AD91" s="3">
        <f>AD90/3.14159</f>
        <v>1.0003824000000001</v>
      </c>
      <c r="AH91" s="3"/>
      <c r="AI91" s="3"/>
      <c r="BD91" t="s">
        <v>573</v>
      </c>
      <c r="BE91" t="s">
        <v>324</v>
      </c>
      <c r="BF91" s="12">
        <f>BF44*0.25</f>
        <v>2.1874999999999999E-2</v>
      </c>
      <c r="BG91" s="12">
        <f t="shared" si="21"/>
        <v>6.9630346416941734E-3</v>
      </c>
      <c r="BH91" s="11">
        <v>8.0000000000000002E-3</v>
      </c>
      <c r="BI91" s="18"/>
      <c r="BJ91" s="38">
        <v>0</v>
      </c>
      <c r="BK91" s="12">
        <f t="shared" si="22"/>
        <v>0.1008</v>
      </c>
      <c r="BL91" s="22">
        <f t="shared" si="23"/>
        <v>3.2256</v>
      </c>
      <c r="BM91" s="23" t="s">
        <v>728</v>
      </c>
      <c r="BN91" s="15"/>
      <c r="BO91" s="38">
        <v>0</v>
      </c>
      <c r="BP91" s="38">
        <v>0</v>
      </c>
      <c r="BQ91" s="20"/>
    </row>
    <row r="92" spans="1:69" x14ac:dyDescent="0.25">
      <c r="A92" t="s">
        <v>125</v>
      </c>
      <c r="B92" t="s">
        <v>150</v>
      </c>
      <c r="C92" s="3">
        <f>C60*0.75</f>
        <v>2.4982132500000001</v>
      </c>
      <c r="D92" s="3"/>
      <c r="E92" t="s">
        <v>127</v>
      </c>
      <c r="F92" s="3">
        <f>C55*0.6</f>
        <v>4.441268</v>
      </c>
      <c r="G92" s="3"/>
      <c r="I92" s="3"/>
      <c r="J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X92" s="3"/>
      <c r="Y92" s="3"/>
      <c r="BD92" t="s">
        <v>574</v>
      </c>
      <c r="BE92" t="s">
        <v>319</v>
      </c>
      <c r="BF92" s="12">
        <f>BF42*0.19</f>
        <v>3.3249999999999995E-2</v>
      </c>
      <c r="BG92" s="12">
        <f t="shared" si="21"/>
        <v>1.0583812655375143E-2</v>
      </c>
      <c r="BH92" s="11">
        <v>1.2E-2</v>
      </c>
      <c r="BI92" s="18"/>
      <c r="BJ92" s="38">
        <v>0</v>
      </c>
      <c r="BK92" s="12">
        <f t="shared" si="22"/>
        <v>0.1512</v>
      </c>
      <c r="BL92" s="22">
        <f t="shared" si="23"/>
        <v>4.8384</v>
      </c>
      <c r="BM92" s="23" t="s">
        <v>726</v>
      </c>
      <c r="BN92" s="15"/>
      <c r="BO92" s="38">
        <v>0</v>
      </c>
      <c r="BP92" s="38">
        <v>0</v>
      </c>
      <c r="BQ92" s="20"/>
    </row>
    <row r="93" spans="1:69" x14ac:dyDescent="0.25">
      <c r="A93" t="s">
        <v>126</v>
      </c>
      <c r="B93" t="s">
        <v>50</v>
      </c>
      <c r="C93" s="3">
        <f>C92/3.14159</f>
        <v>0.79520664695265775</v>
      </c>
      <c r="D93" s="3"/>
      <c r="E93" t="s">
        <v>50</v>
      </c>
      <c r="F93" s="3">
        <f>F92/3.14159</f>
        <v>1.4137007056936137</v>
      </c>
      <c r="G93" s="3"/>
      <c r="I93" s="3"/>
      <c r="J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X93" s="3"/>
      <c r="Y93" s="3"/>
      <c r="BD93" t="s">
        <v>575</v>
      </c>
      <c r="BE93" t="s">
        <v>319</v>
      </c>
      <c r="BF93" s="12">
        <f>BF42*0.19</f>
        <v>3.3249999999999995E-2</v>
      </c>
      <c r="BG93" s="12">
        <f t="shared" si="21"/>
        <v>1.0583812655375143E-2</v>
      </c>
      <c r="BH93" s="11">
        <v>1.2E-2</v>
      </c>
      <c r="BI93" s="18"/>
      <c r="BJ93" s="38">
        <v>0</v>
      </c>
      <c r="BK93" s="12">
        <f t="shared" si="22"/>
        <v>0.1512</v>
      </c>
      <c r="BL93" s="22">
        <f t="shared" si="23"/>
        <v>4.8384</v>
      </c>
      <c r="BM93" s="23" t="s">
        <v>726</v>
      </c>
      <c r="BN93" s="15"/>
      <c r="BO93" s="38">
        <v>0</v>
      </c>
      <c r="BP93" s="38">
        <v>0</v>
      </c>
      <c r="BQ93" s="20"/>
    </row>
    <row r="94" spans="1:69" x14ac:dyDescent="0.25">
      <c r="A94" t="s">
        <v>136</v>
      </c>
      <c r="B94" t="s">
        <v>151</v>
      </c>
      <c r="C94" s="3">
        <f>C92*0.5</f>
        <v>1.249106625</v>
      </c>
      <c r="D94" s="3"/>
      <c r="E94" t="s">
        <v>137</v>
      </c>
      <c r="F94" s="3">
        <f>C55*0.55</f>
        <v>4.0711623333333335</v>
      </c>
      <c r="G94" s="3"/>
      <c r="I94" s="3"/>
      <c r="J94" s="3"/>
      <c r="L94" s="3"/>
      <c r="M94" s="3"/>
      <c r="N94" s="3"/>
      <c r="O94" s="3"/>
      <c r="P94" s="3"/>
      <c r="Q94" s="3"/>
      <c r="R94" s="3"/>
      <c r="S94" s="3"/>
      <c r="T94" s="3"/>
      <c r="V94" s="3"/>
      <c r="W94" s="3"/>
      <c r="BD94" t="s">
        <v>576</v>
      </c>
      <c r="BE94" t="s">
        <v>320</v>
      </c>
      <c r="BF94" s="12">
        <f>BF42*0.125</f>
        <v>2.1874999999999999E-2</v>
      </c>
      <c r="BG94" s="12">
        <f t="shared" si="21"/>
        <v>6.9630346416941734E-3</v>
      </c>
      <c r="BH94" s="11">
        <v>8.0000000000000002E-3</v>
      </c>
      <c r="BI94" s="18"/>
      <c r="BJ94" s="38">
        <v>0</v>
      </c>
      <c r="BK94" s="12">
        <f t="shared" si="22"/>
        <v>0.1008</v>
      </c>
      <c r="BL94" s="22">
        <f t="shared" si="23"/>
        <v>3.2256</v>
      </c>
      <c r="BM94" s="23" t="s">
        <v>728</v>
      </c>
      <c r="BN94" s="15"/>
      <c r="BO94" s="38">
        <v>0</v>
      </c>
      <c r="BP94" s="38">
        <v>0</v>
      </c>
      <c r="BQ94" s="20"/>
    </row>
    <row r="95" spans="1:69" x14ac:dyDescent="0.25">
      <c r="A95" t="s">
        <v>135</v>
      </c>
      <c r="B95" t="s">
        <v>50</v>
      </c>
      <c r="C95" s="3">
        <f>C94/3.14159</f>
        <v>0.39760332347632887</v>
      </c>
      <c r="D95" s="3"/>
      <c r="E95" t="s">
        <v>50</v>
      </c>
      <c r="F95" s="3">
        <f>F94/3.14159</f>
        <v>1.2958923135524794</v>
      </c>
      <c r="G95" s="3"/>
      <c r="I95" s="3"/>
      <c r="J95" s="3"/>
      <c r="L95" s="3"/>
      <c r="M95" s="3"/>
      <c r="N95" s="3"/>
      <c r="O95" s="3"/>
      <c r="P95" s="3"/>
      <c r="Q95" s="3"/>
      <c r="R95" s="3"/>
      <c r="S95" s="3"/>
      <c r="T95" s="3"/>
      <c r="V95" s="3"/>
      <c r="W95" s="3"/>
      <c r="BD95" t="s">
        <v>577</v>
      </c>
      <c r="BE95" t="s">
        <v>323</v>
      </c>
      <c r="BF95" s="12">
        <f>BF44*0.375</f>
        <v>3.2812499999999994E-2</v>
      </c>
      <c r="BG95" s="12">
        <f t="shared" si="21"/>
        <v>1.044455196254126E-2</v>
      </c>
      <c r="BH95" s="11">
        <v>1.2E-2</v>
      </c>
      <c r="BI95" s="18"/>
      <c r="BJ95" s="38">
        <v>0</v>
      </c>
      <c r="BK95" s="12">
        <f t="shared" si="22"/>
        <v>0.1512</v>
      </c>
      <c r="BL95" s="22">
        <f t="shared" si="23"/>
        <v>4.8384</v>
      </c>
      <c r="BM95" s="23" t="s">
        <v>726</v>
      </c>
      <c r="BN95" s="15"/>
      <c r="BO95" s="38">
        <v>0</v>
      </c>
      <c r="BP95" s="38">
        <v>0</v>
      </c>
      <c r="BQ95" s="20"/>
    </row>
    <row r="96" spans="1:69" x14ac:dyDescent="0.25">
      <c r="A96" t="s">
        <v>128</v>
      </c>
      <c r="B96" t="s">
        <v>153</v>
      </c>
      <c r="C96" s="3">
        <f>C82*0.5</f>
        <v>1.6654755000000001</v>
      </c>
      <c r="D96" s="3"/>
      <c r="E96" t="s">
        <v>130</v>
      </c>
      <c r="F96" s="3">
        <f>C55*0.53</f>
        <v>3.9231200666666668</v>
      </c>
      <c r="G96" s="3"/>
      <c r="I96" s="3"/>
      <c r="J96" s="3"/>
      <c r="T96" s="3"/>
      <c r="V96" s="3"/>
      <c r="W96" s="3"/>
      <c r="BD96" t="s">
        <v>578</v>
      </c>
      <c r="BE96" t="s">
        <v>318</v>
      </c>
      <c r="BF96" s="12">
        <f>BF44*0.5</f>
        <v>4.3749999999999997E-2</v>
      </c>
      <c r="BG96" s="12">
        <f t="shared" si="21"/>
        <v>1.3926069283388347E-2</v>
      </c>
      <c r="BH96" s="11">
        <v>1.2E-2</v>
      </c>
      <c r="BI96" s="18"/>
      <c r="BJ96" s="38">
        <v>0</v>
      </c>
      <c r="BK96" s="12">
        <f t="shared" si="22"/>
        <v>0.1512</v>
      </c>
      <c r="BL96" s="22">
        <f t="shared" si="23"/>
        <v>4.8384</v>
      </c>
      <c r="BM96" s="23" t="s">
        <v>726</v>
      </c>
      <c r="BN96" s="15"/>
      <c r="BO96" s="38">
        <v>0</v>
      </c>
      <c r="BP96" s="38">
        <v>0</v>
      </c>
      <c r="BQ96" s="20"/>
    </row>
    <row r="97" spans="1:69" x14ac:dyDescent="0.25">
      <c r="A97" t="s">
        <v>129</v>
      </c>
      <c r="B97" t="s">
        <v>50</v>
      </c>
      <c r="C97" s="3">
        <f>C96/3.14159</f>
        <v>0.5301377646351052</v>
      </c>
      <c r="D97" s="3"/>
      <c r="E97" t="s">
        <v>50</v>
      </c>
      <c r="F97" s="3">
        <f>F96/3.14159</f>
        <v>1.2487689566960256</v>
      </c>
      <c r="G97" s="3"/>
      <c r="I97" s="3"/>
      <c r="J97" s="3"/>
      <c r="T97" s="3"/>
      <c r="BD97" t="s">
        <v>579</v>
      </c>
      <c r="BE97" t="s">
        <v>317</v>
      </c>
      <c r="BF97" s="12">
        <f>BF44*0.45</f>
        <v>3.9375E-2</v>
      </c>
      <c r="BG97" s="12">
        <f t="shared" si="21"/>
        <v>1.2533462355049515E-2</v>
      </c>
      <c r="BH97" s="11">
        <v>1.2E-2</v>
      </c>
      <c r="BI97" s="18"/>
      <c r="BJ97" s="38">
        <v>0</v>
      </c>
      <c r="BK97" s="12">
        <f t="shared" si="22"/>
        <v>0.1512</v>
      </c>
      <c r="BL97" s="22">
        <f t="shared" si="23"/>
        <v>4.8384</v>
      </c>
      <c r="BM97" s="23" t="s">
        <v>726</v>
      </c>
      <c r="BN97" s="15"/>
      <c r="BO97" s="38">
        <v>0</v>
      </c>
      <c r="BP97" s="38">
        <v>0</v>
      </c>
      <c r="BQ97" s="20"/>
    </row>
    <row r="98" spans="1:69" x14ac:dyDescent="0.25">
      <c r="A98" t="s">
        <v>78</v>
      </c>
      <c r="B98" t="s">
        <v>148</v>
      </c>
      <c r="C98" s="3">
        <f>C78</f>
        <v>3.9971412000000002</v>
      </c>
      <c r="D98" s="3"/>
      <c r="E98" t="s">
        <v>144</v>
      </c>
      <c r="F98" s="3">
        <f>C55*0.28</f>
        <v>2.0725917333333337</v>
      </c>
      <c r="T98" s="3"/>
      <c r="BD98" t="s">
        <v>580</v>
      </c>
      <c r="BE98" t="s">
        <v>317</v>
      </c>
      <c r="BF98" s="12">
        <f>BF44*0.45</f>
        <v>3.9375E-2</v>
      </c>
      <c r="BG98" s="12">
        <f t="shared" si="21"/>
        <v>1.2533462355049515E-2</v>
      </c>
      <c r="BH98" s="11">
        <v>1.2E-2</v>
      </c>
      <c r="BI98" s="18"/>
      <c r="BJ98" s="38">
        <v>0</v>
      </c>
      <c r="BK98" s="12">
        <f t="shared" si="22"/>
        <v>0.1512</v>
      </c>
      <c r="BL98" s="22">
        <f t="shared" si="23"/>
        <v>4.8384</v>
      </c>
      <c r="BM98" s="23" t="s">
        <v>726</v>
      </c>
      <c r="BN98" s="15"/>
      <c r="BO98" s="38">
        <v>0</v>
      </c>
      <c r="BP98" s="38">
        <v>0</v>
      </c>
      <c r="BQ98" s="20"/>
    </row>
    <row r="99" spans="1:69" x14ac:dyDescent="0.25">
      <c r="A99" t="s">
        <v>79</v>
      </c>
      <c r="B99" t="s">
        <v>50</v>
      </c>
      <c r="C99" s="3">
        <f>C98/3.14159</f>
        <v>1.2723306351242525</v>
      </c>
      <c r="D99" s="3"/>
      <c r="E99" t="s">
        <v>50</v>
      </c>
      <c r="F99" s="3">
        <f>F98/3.14159</f>
        <v>0.65972699599035323</v>
      </c>
      <c r="T99" s="3"/>
      <c r="BD99" t="s">
        <v>581</v>
      </c>
      <c r="BE99" t="s">
        <v>324</v>
      </c>
      <c r="BF99" s="12">
        <f>BF44*0.25</f>
        <v>2.1874999999999999E-2</v>
      </c>
      <c r="BG99" s="12">
        <f t="shared" si="21"/>
        <v>6.9630346416941734E-3</v>
      </c>
      <c r="BH99" s="11">
        <v>8.0000000000000002E-3</v>
      </c>
      <c r="BI99" s="18"/>
      <c r="BJ99" s="38">
        <v>0</v>
      </c>
      <c r="BK99" s="12">
        <f t="shared" si="22"/>
        <v>0.1008</v>
      </c>
      <c r="BL99" s="22">
        <f t="shared" si="23"/>
        <v>3.2256</v>
      </c>
      <c r="BM99" s="23" t="s">
        <v>728</v>
      </c>
      <c r="BN99" s="15"/>
      <c r="BO99" s="38">
        <v>0</v>
      </c>
      <c r="BP99" s="38">
        <v>0</v>
      </c>
      <c r="BQ99" s="20"/>
    </row>
    <row r="100" spans="1:69" ht="15.6" x14ac:dyDescent="0.3">
      <c r="A100" t="s">
        <v>80</v>
      </c>
      <c r="B100" t="s">
        <v>148</v>
      </c>
      <c r="C100" s="3">
        <f>C80</f>
        <v>4.441268</v>
      </c>
      <c r="D100" s="3"/>
      <c r="E100" t="s">
        <v>132</v>
      </c>
      <c r="F100" s="3">
        <f>C55*0.3</f>
        <v>2.220634</v>
      </c>
      <c r="H100" s="1"/>
      <c r="K100" s="1"/>
      <c r="T100" s="3"/>
      <c r="BD100" t="s">
        <v>582</v>
      </c>
      <c r="BE100" t="s">
        <v>318</v>
      </c>
      <c r="BF100" s="12">
        <f>BF44*0.5</f>
        <v>4.3749999999999997E-2</v>
      </c>
      <c r="BG100" s="12">
        <f t="shared" si="21"/>
        <v>1.3926069283388347E-2</v>
      </c>
      <c r="BH100" s="11">
        <v>1.2E-2</v>
      </c>
      <c r="BI100" s="18"/>
      <c r="BJ100" s="38">
        <v>0</v>
      </c>
      <c r="BK100" s="12">
        <f t="shared" si="22"/>
        <v>0.1512</v>
      </c>
      <c r="BL100" s="22">
        <f t="shared" si="23"/>
        <v>4.8384</v>
      </c>
      <c r="BM100" s="23" t="s">
        <v>726</v>
      </c>
      <c r="BN100" s="15"/>
      <c r="BO100" s="38">
        <v>0</v>
      </c>
      <c r="BP100" s="38">
        <v>0</v>
      </c>
      <c r="BQ100" s="20"/>
    </row>
    <row r="101" spans="1:69" x14ac:dyDescent="0.25">
      <c r="A101" t="s">
        <v>81</v>
      </c>
      <c r="B101" t="s">
        <v>50</v>
      </c>
      <c r="C101" s="3">
        <f>C100/3.14159</f>
        <v>1.4137007056936137</v>
      </c>
      <c r="D101" s="3"/>
      <c r="E101" t="s">
        <v>50</v>
      </c>
      <c r="F101" s="3">
        <f>F100/3.14159</f>
        <v>0.70685035284680686</v>
      </c>
      <c r="T101" s="3"/>
      <c r="BD101" t="s">
        <v>583</v>
      </c>
      <c r="BE101" t="s">
        <v>318</v>
      </c>
      <c r="BF101" s="12">
        <f>BF44*0.5</f>
        <v>4.3749999999999997E-2</v>
      </c>
      <c r="BG101" s="12">
        <f t="shared" si="21"/>
        <v>1.3926069283388347E-2</v>
      </c>
      <c r="BH101" s="11">
        <v>1.2E-2</v>
      </c>
      <c r="BI101" s="18"/>
      <c r="BJ101" s="38">
        <v>0</v>
      </c>
      <c r="BK101" s="12">
        <f t="shared" si="22"/>
        <v>0.1512</v>
      </c>
      <c r="BL101" s="22">
        <f t="shared" si="23"/>
        <v>4.8384</v>
      </c>
      <c r="BM101" s="23" t="s">
        <v>726</v>
      </c>
      <c r="BN101" s="15"/>
      <c r="BO101" s="38">
        <v>0</v>
      </c>
      <c r="BP101" s="38">
        <v>0</v>
      </c>
      <c r="BQ101" s="20"/>
    </row>
    <row r="102" spans="1:69" x14ac:dyDescent="0.25">
      <c r="T102" s="3"/>
      <c r="BD102" t="s">
        <v>584</v>
      </c>
      <c r="BE102" t="s">
        <v>366</v>
      </c>
      <c r="BF102" s="12">
        <f>BF45*0.5</f>
        <v>0.04</v>
      </c>
      <c r="BG102" s="12">
        <f t="shared" si="21"/>
        <v>1.2732406201955062E-2</v>
      </c>
      <c r="BH102" s="11">
        <v>1.2E-2</v>
      </c>
      <c r="BI102" s="18"/>
      <c r="BJ102" s="38">
        <v>0</v>
      </c>
      <c r="BK102" s="12">
        <f t="shared" si="22"/>
        <v>0.1512</v>
      </c>
      <c r="BL102" s="22">
        <f t="shared" si="23"/>
        <v>4.8384</v>
      </c>
      <c r="BM102" s="23" t="s">
        <v>726</v>
      </c>
      <c r="BN102" s="15"/>
      <c r="BO102" s="38">
        <v>0</v>
      </c>
      <c r="BP102" s="38">
        <v>0</v>
      </c>
      <c r="BQ102" s="20"/>
    </row>
    <row r="103" spans="1:69" ht="15.6" x14ac:dyDescent="0.3">
      <c r="A103" s="1" t="s">
        <v>307</v>
      </c>
      <c r="T103" s="3"/>
      <c r="BD103" t="s">
        <v>585</v>
      </c>
      <c r="BE103" t="s">
        <v>367</v>
      </c>
      <c r="BF103" s="12">
        <f>BF45*0.45</f>
        <v>3.6000000000000004E-2</v>
      </c>
      <c r="BG103" s="12">
        <f t="shared" si="21"/>
        <v>1.1459165581759556E-2</v>
      </c>
      <c r="BH103" s="11">
        <v>1.2E-2</v>
      </c>
      <c r="BI103" s="18"/>
      <c r="BJ103" s="38">
        <v>0</v>
      </c>
      <c r="BK103" s="12">
        <f t="shared" si="22"/>
        <v>0.1512</v>
      </c>
      <c r="BL103" s="22">
        <f t="shared" si="23"/>
        <v>4.8384</v>
      </c>
      <c r="BM103" s="23" t="s">
        <v>726</v>
      </c>
      <c r="BN103" s="15"/>
      <c r="BO103" s="38">
        <v>0</v>
      </c>
      <c r="BP103" s="38">
        <v>0</v>
      </c>
      <c r="BQ103" s="20"/>
    </row>
    <row r="104" spans="1:69" ht="15.6" x14ac:dyDescent="0.3">
      <c r="B104" s="1" t="s">
        <v>1</v>
      </c>
      <c r="C104" s="3"/>
      <c r="D104" s="3"/>
      <c r="E104" s="1" t="s">
        <v>82</v>
      </c>
      <c r="T104" s="3"/>
      <c r="BD104" t="s">
        <v>586</v>
      </c>
      <c r="BE104" t="s">
        <v>366</v>
      </c>
      <c r="BF104" s="12">
        <f>BF45*0.5</f>
        <v>0.04</v>
      </c>
      <c r="BG104" s="12">
        <f t="shared" si="21"/>
        <v>1.2732406201955062E-2</v>
      </c>
      <c r="BH104" s="11">
        <v>1.2E-2</v>
      </c>
      <c r="BI104" s="18"/>
      <c r="BJ104" s="38">
        <v>0</v>
      </c>
      <c r="BK104" s="12">
        <f t="shared" si="22"/>
        <v>0.1512</v>
      </c>
      <c r="BL104" s="22">
        <f t="shared" si="23"/>
        <v>4.8384</v>
      </c>
      <c r="BM104" s="23" t="s">
        <v>726</v>
      </c>
      <c r="BN104" s="15"/>
      <c r="BO104" s="38">
        <v>0</v>
      </c>
      <c r="BP104" s="38">
        <v>0</v>
      </c>
      <c r="BQ104" s="20"/>
    </row>
    <row r="105" spans="1:69" x14ac:dyDescent="0.25">
      <c r="A105" t="s">
        <v>372</v>
      </c>
      <c r="B105" t="s">
        <v>308</v>
      </c>
      <c r="C105">
        <f>C56*0.375</f>
        <v>2.4982132500000001</v>
      </c>
      <c r="T105" s="3"/>
      <c r="BD105" t="s">
        <v>587</v>
      </c>
      <c r="BE105" t="s">
        <v>368</v>
      </c>
      <c r="BF105" s="12">
        <f>BF45*0.237</f>
        <v>1.8960000000000001E-2</v>
      </c>
      <c r="BG105" s="12">
        <f t="shared" si="21"/>
        <v>6.0351605397266994E-3</v>
      </c>
      <c r="BH105" s="11">
        <v>8.0000000000000002E-3</v>
      </c>
      <c r="BI105" s="18"/>
      <c r="BJ105" s="38">
        <v>0</v>
      </c>
      <c r="BK105" s="12">
        <f t="shared" si="22"/>
        <v>0.1008</v>
      </c>
      <c r="BL105" s="22">
        <f t="shared" si="23"/>
        <v>3.2256</v>
      </c>
      <c r="BM105" s="23" t="s">
        <v>728</v>
      </c>
      <c r="BN105" s="15"/>
      <c r="BO105" s="38">
        <v>0</v>
      </c>
      <c r="BP105" s="38">
        <v>0</v>
      </c>
      <c r="BQ105" s="20"/>
    </row>
    <row r="106" spans="1:69" x14ac:dyDescent="0.25">
      <c r="A106" t="s">
        <v>371</v>
      </c>
      <c r="B106" t="s">
        <v>50</v>
      </c>
      <c r="C106">
        <f>C105/3.14158</f>
        <v>0.79520917818422587</v>
      </c>
      <c r="T106" s="3"/>
      <c r="BD106" t="s">
        <v>588</v>
      </c>
      <c r="BE106" t="s">
        <v>369</v>
      </c>
      <c r="BF106" s="12">
        <f>BF45*0.18</f>
        <v>1.44E-2</v>
      </c>
      <c r="BG106" s="12">
        <f t="shared" si="21"/>
        <v>4.5836662327038216E-3</v>
      </c>
      <c r="BH106" s="11">
        <v>8.0000000000000002E-3</v>
      </c>
      <c r="BI106" s="18"/>
      <c r="BJ106" s="38">
        <v>0</v>
      </c>
      <c r="BK106" s="12">
        <f>BH106*12.6</f>
        <v>0.1008</v>
      </c>
      <c r="BL106" s="22">
        <f t="shared" si="23"/>
        <v>3.2256</v>
      </c>
      <c r="BM106" s="23" t="s">
        <v>728</v>
      </c>
      <c r="BN106" s="15"/>
      <c r="BO106" s="38">
        <v>0</v>
      </c>
      <c r="BP106" s="38">
        <v>0</v>
      </c>
      <c r="BQ106" s="20"/>
    </row>
    <row r="107" spans="1:69" x14ac:dyDescent="0.25">
      <c r="A107" t="s">
        <v>383</v>
      </c>
      <c r="B107" t="s">
        <v>309</v>
      </c>
      <c r="E107" t="s">
        <v>339</v>
      </c>
      <c r="T107" s="3"/>
      <c r="BD107" t="s">
        <v>589</v>
      </c>
      <c r="BE107" t="s">
        <v>318</v>
      </c>
      <c r="BF107" s="12">
        <f>BF44*0.5</f>
        <v>4.3749999999999997E-2</v>
      </c>
      <c r="BG107" s="12">
        <f t="shared" si="21"/>
        <v>1.3926069283388347E-2</v>
      </c>
      <c r="BH107" s="11">
        <v>1.2E-2</v>
      </c>
      <c r="BI107" s="18"/>
      <c r="BJ107" s="38">
        <v>0</v>
      </c>
      <c r="BK107" s="12">
        <f t="shared" si="22"/>
        <v>0.1512</v>
      </c>
      <c r="BL107" s="22">
        <f t="shared" si="23"/>
        <v>4.8384</v>
      </c>
      <c r="BM107" s="23" t="s">
        <v>726</v>
      </c>
      <c r="BN107" s="15"/>
      <c r="BO107" s="38">
        <v>0</v>
      </c>
      <c r="BP107" s="38">
        <v>0</v>
      </c>
      <c r="BQ107" s="20"/>
    </row>
    <row r="108" spans="1:69" x14ac:dyDescent="0.25">
      <c r="A108" t="s">
        <v>450</v>
      </c>
      <c r="B108" t="s">
        <v>50</v>
      </c>
      <c r="E108" t="s">
        <v>50</v>
      </c>
      <c r="T108" s="3"/>
      <c r="BD108" t="s">
        <v>590</v>
      </c>
      <c r="BE108" t="s">
        <v>325</v>
      </c>
      <c r="BF108" s="12">
        <f>BF44*0.33</f>
        <v>2.8874999999999998E-2</v>
      </c>
      <c r="BG108" s="12">
        <f t="shared" si="21"/>
        <v>9.1912057270363088E-3</v>
      </c>
      <c r="BH108" s="11">
        <v>8.0000000000000002E-3</v>
      </c>
      <c r="BI108" s="18"/>
      <c r="BJ108" s="38">
        <v>0</v>
      </c>
      <c r="BK108" s="12">
        <f t="shared" si="22"/>
        <v>0.1008</v>
      </c>
      <c r="BL108" s="22">
        <f t="shared" si="23"/>
        <v>3.2256</v>
      </c>
      <c r="BM108" s="23" t="s">
        <v>728</v>
      </c>
      <c r="BN108" s="15"/>
      <c r="BO108" s="38">
        <v>0</v>
      </c>
      <c r="BP108" s="38">
        <v>0</v>
      </c>
      <c r="BQ108" s="20"/>
    </row>
    <row r="109" spans="1:69" x14ac:dyDescent="0.25">
      <c r="A109" t="s">
        <v>384</v>
      </c>
      <c r="B109" t="s">
        <v>310</v>
      </c>
      <c r="E109" t="s">
        <v>346</v>
      </c>
      <c r="T109" s="3"/>
      <c r="BD109" t="s">
        <v>591</v>
      </c>
      <c r="BE109" t="s">
        <v>370</v>
      </c>
      <c r="BF109" s="12">
        <f>BF44*0.3</f>
        <v>2.6249999999999999E-2</v>
      </c>
      <c r="BG109" s="12">
        <f t="shared" si="21"/>
        <v>8.3556415700330091E-3</v>
      </c>
      <c r="BH109" s="11">
        <v>8.0000000000000002E-3</v>
      </c>
      <c r="BI109" s="18"/>
      <c r="BJ109" s="38">
        <v>0</v>
      </c>
      <c r="BK109" s="12">
        <f t="shared" si="22"/>
        <v>0.1008</v>
      </c>
      <c r="BL109" s="22">
        <f t="shared" si="23"/>
        <v>3.2256</v>
      </c>
      <c r="BM109" s="23" t="s">
        <v>728</v>
      </c>
      <c r="BN109" s="15"/>
      <c r="BO109" s="38">
        <v>0</v>
      </c>
      <c r="BP109" s="38">
        <v>0</v>
      </c>
      <c r="BQ109" s="20"/>
    </row>
    <row r="110" spans="1:69" x14ac:dyDescent="0.25">
      <c r="A110" t="s">
        <v>451</v>
      </c>
      <c r="B110" t="s">
        <v>50</v>
      </c>
      <c r="E110" t="s">
        <v>50</v>
      </c>
      <c r="T110" s="3"/>
      <c r="BD110" t="s">
        <v>592</v>
      </c>
      <c r="BE110" t="s">
        <v>325</v>
      </c>
      <c r="BF110" s="12">
        <f>BF44*0.33</f>
        <v>2.8874999999999998E-2</v>
      </c>
      <c r="BG110" s="12">
        <f t="shared" si="21"/>
        <v>9.1912057270363088E-3</v>
      </c>
      <c r="BH110" s="11">
        <v>8.0000000000000002E-3</v>
      </c>
      <c r="BI110" s="18"/>
      <c r="BJ110" s="38">
        <v>0</v>
      </c>
      <c r="BK110" s="12">
        <f t="shared" si="22"/>
        <v>0.1008</v>
      </c>
      <c r="BL110" s="22">
        <f t="shared" si="23"/>
        <v>3.2256</v>
      </c>
      <c r="BM110" s="23" t="s">
        <v>728</v>
      </c>
      <c r="BN110" s="15"/>
      <c r="BO110" s="38">
        <v>0</v>
      </c>
      <c r="BP110" s="38">
        <v>0</v>
      </c>
      <c r="BQ110" s="20"/>
    </row>
    <row r="111" spans="1:69" x14ac:dyDescent="0.25">
      <c r="A111" t="s">
        <v>385</v>
      </c>
      <c r="B111" t="s">
        <v>311</v>
      </c>
      <c r="E111" t="s">
        <v>350</v>
      </c>
      <c r="T111" s="3"/>
      <c r="BD111" t="s">
        <v>593</v>
      </c>
      <c r="BE111" t="s">
        <v>318</v>
      </c>
      <c r="BF111" s="12">
        <f>BF44*0.5</f>
        <v>4.3749999999999997E-2</v>
      </c>
      <c r="BG111" s="12">
        <f t="shared" si="21"/>
        <v>1.3926069283388347E-2</v>
      </c>
      <c r="BH111" s="11">
        <v>1.2E-2</v>
      </c>
      <c r="BI111" s="18"/>
      <c r="BJ111" s="38">
        <v>0</v>
      </c>
      <c r="BK111" s="12">
        <f t="shared" si="22"/>
        <v>0.1512</v>
      </c>
      <c r="BL111" s="22">
        <f t="shared" si="23"/>
        <v>4.8384</v>
      </c>
      <c r="BM111" s="23" t="s">
        <v>726</v>
      </c>
      <c r="BN111" s="15"/>
      <c r="BO111" s="38">
        <v>0</v>
      </c>
      <c r="BP111" s="38">
        <v>0</v>
      </c>
      <c r="BQ111" s="20"/>
    </row>
    <row r="112" spans="1:69" x14ac:dyDescent="0.25">
      <c r="A112" t="s">
        <v>452</v>
      </c>
      <c r="B112" t="s">
        <v>50</v>
      </c>
      <c r="E112" t="s">
        <v>50</v>
      </c>
      <c r="T112" s="3"/>
      <c r="BD112" t="s">
        <v>594</v>
      </c>
      <c r="BE112" t="s">
        <v>325</v>
      </c>
      <c r="BF112" s="12">
        <f>BF44*0.33</f>
        <v>2.8874999999999998E-2</v>
      </c>
      <c r="BG112" s="12">
        <f t="shared" si="21"/>
        <v>9.1912057270363088E-3</v>
      </c>
      <c r="BH112" s="11">
        <v>8.0000000000000002E-3</v>
      </c>
      <c r="BI112" s="18"/>
      <c r="BJ112" s="38">
        <v>0</v>
      </c>
      <c r="BK112" s="12">
        <f t="shared" si="22"/>
        <v>0.1008</v>
      </c>
      <c r="BL112" s="22">
        <f t="shared" si="23"/>
        <v>3.2256</v>
      </c>
      <c r="BM112" s="23" t="s">
        <v>728</v>
      </c>
      <c r="BN112" s="15"/>
      <c r="BO112" s="38">
        <v>0</v>
      </c>
      <c r="BP112" s="38">
        <v>0</v>
      </c>
      <c r="BQ112" s="20"/>
    </row>
    <row r="113" spans="1:69" x14ac:dyDescent="0.25">
      <c r="A113" t="s">
        <v>386</v>
      </c>
      <c r="B113" t="s">
        <v>335</v>
      </c>
      <c r="E113" t="s">
        <v>351</v>
      </c>
      <c r="T113" s="3"/>
      <c r="BD113" t="s">
        <v>595</v>
      </c>
      <c r="BE113" t="s">
        <v>318</v>
      </c>
      <c r="BF113" s="12">
        <f>BF44*0.5</f>
        <v>4.3749999999999997E-2</v>
      </c>
      <c r="BG113" s="12">
        <f t="shared" si="21"/>
        <v>1.3926069283388347E-2</v>
      </c>
      <c r="BH113" s="11">
        <v>1.2E-2</v>
      </c>
      <c r="BI113" s="18"/>
      <c r="BJ113" s="38">
        <v>0</v>
      </c>
      <c r="BK113" s="12">
        <f t="shared" si="22"/>
        <v>0.1512</v>
      </c>
      <c r="BL113" s="22">
        <f t="shared" si="23"/>
        <v>4.8384</v>
      </c>
      <c r="BM113" s="23" t="s">
        <v>726</v>
      </c>
      <c r="BN113" s="15"/>
      <c r="BO113" s="38">
        <v>0</v>
      </c>
      <c r="BP113" s="38">
        <v>0</v>
      </c>
      <c r="BQ113" s="20"/>
    </row>
    <row r="114" spans="1:69" x14ac:dyDescent="0.25">
      <c r="A114" t="s">
        <v>453</v>
      </c>
      <c r="B114" t="s">
        <v>50</v>
      </c>
      <c r="E114" t="s">
        <v>50</v>
      </c>
      <c r="T114" s="3"/>
      <c r="BD114" t="s">
        <v>596</v>
      </c>
      <c r="BE114" t="s">
        <v>318</v>
      </c>
      <c r="BF114" s="12">
        <f>BF44*0.5</f>
        <v>4.3749999999999997E-2</v>
      </c>
      <c r="BG114" s="12">
        <f t="shared" si="21"/>
        <v>1.3926069283388347E-2</v>
      </c>
      <c r="BH114" s="11">
        <v>1.2E-2</v>
      </c>
      <c r="BI114" s="18"/>
      <c r="BJ114" s="38">
        <v>0</v>
      </c>
      <c r="BK114" s="12">
        <f t="shared" si="22"/>
        <v>0.1512</v>
      </c>
      <c r="BL114" s="22">
        <f t="shared" si="23"/>
        <v>4.8384</v>
      </c>
      <c r="BM114" s="23" t="s">
        <v>726</v>
      </c>
      <c r="BN114" s="15"/>
      <c r="BO114" s="38">
        <v>0</v>
      </c>
      <c r="BP114" s="38">
        <v>0</v>
      </c>
      <c r="BQ114" s="20"/>
    </row>
    <row r="115" spans="1:69" x14ac:dyDescent="0.25">
      <c r="A115" t="s">
        <v>387</v>
      </c>
      <c r="B115" t="s">
        <v>309</v>
      </c>
      <c r="T115" s="3"/>
      <c r="BD115" t="s">
        <v>597</v>
      </c>
      <c r="BE115" t="s">
        <v>327</v>
      </c>
      <c r="BF115" s="12">
        <f>BF46*0.66</f>
        <v>2.6400000000000003E-2</v>
      </c>
      <c r="BG115" s="12">
        <f t="shared" si="21"/>
        <v>8.4033880932903419E-3</v>
      </c>
      <c r="BH115" s="11">
        <v>8.0000000000000002E-3</v>
      </c>
      <c r="BI115" s="18"/>
      <c r="BJ115" s="38">
        <v>0</v>
      </c>
      <c r="BK115" s="12">
        <f t="shared" si="22"/>
        <v>0.1008</v>
      </c>
      <c r="BL115" s="22">
        <f t="shared" si="23"/>
        <v>3.2256</v>
      </c>
      <c r="BM115" s="23" t="s">
        <v>728</v>
      </c>
      <c r="BN115" s="15"/>
      <c r="BO115" s="38">
        <v>0</v>
      </c>
      <c r="BP115" s="38">
        <v>0</v>
      </c>
      <c r="BQ115" s="20"/>
    </row>
    <row r="116" spans="1:69" x14ac:dyDescent="0.25">
      <c r="A116" t="s">
        <v>454</v>
      </c>
      <c r="B116" t="s">
        <v>50</v>
      </c>
      <c r="T116" s="3"/>
      <c r="BD116" t="s">
        <v>598</v>
      </c>
      <c r="BE116" t="s">
        <v>327</v>
      </c>
      <c r="BF116" s="12">
        <f>BF46*0.66</f>
        <v>2.6400000000000003E-2</v>
      </c>
      <c r="BG116" s="12">
        <f t="shared" si="21"/>
        <v>8.4033880932903419E-3</v>
      </c>
      <c r="BH116" s="11">
        <v>8.0000000000000002E-3</v>
      </c>
      <c r="BI116" s="18"/>
      <c r="BJ116" s="38">
        <v>0</v>
      </c>
      <c r="BK116" s="12">
        <f t="shared" si="22"/>
        <v>0.1008</v>
      </c>
      <c r="BL116" s="22">
        <f t="shared" si="23"/>
        <v>3.2256</v>
      </c>
      <c r="BM116" s="23" t="s">
        <v>728</v>
      </c>
      <c r="BN116" s="15"/>
      <c r="BO116" s="38">
        <v>0</v>
      </c>
      <c r="BP116" s="38">
        <v>0</v>
      </c>
      <c r="BQ116" s="20"/>
    </row>
    <row r="117" spans="1:69" x14ac:dyDescent="0.25">
      <c r="A117" t="s">
        <v>388</v>
      </c>
      <c r="B117" t="s">
        <v>326</v>
      </c>
      <c r="T117" s="3"/>
      <c r="BD117" t="s">
        <v>599</v>
      </c>
      <c r="BE117" t="s">
        <v>328</v>
      </c>
      <c r="BF117" s="12">
        <f>BF46*0.55</f>
        <v>2.2000000000000002E-2</v>
      </c>
      <c r="BG117" s="12">
        <f t="shared" si="21"/>
        <v>7.0028234110752841E-3</v>
      </c>
      <c r="BH117" s="11">
        <v>8.0000000000000002E-3</v>
      </c>
      <c r="BI117" s="18"/>
      <c r="BJ117" s="38">
        <v>0</v>
      </c>
      <c r="BK117" s="12">
        <f t="shared" si="22"/>
        <v>0.1008</v>
      </c>
      <c r="BL117" s="22">
        <f t="shared" si="23"/>
        <v>3.2256</v>
      </c>
      <c r="BM117" s="23" t="s">
        <v>728</v>
      </c>
      <c r="BN117" s="15"/>
      <c r="BO117" s="38">
        <v>0</v>
      </c>
      <c r="BP117" s="38">
        <v>0</v>
      </c>
      <c r="BQ117" s="20"/>
    </row>
    <row r="118" spans="1:69" x14ac:dyDescent="0.25">
      <c r="A118" t="s">
        <v>455</v>
      </c>
      <c r="B118" t="s">
        <v>50</v>
      </c>
      <c r="T118" s="3"/>
      <c r="BD118" t="s">
        <v>600</v>
      </c>
      <c r="BE118" t="s">
        <v>329</v>
      </c>
      <c r="BF118" s="12">
        <f>BF46*0.33</f>
        <v>1.3200000000000002E-2</v>
      </c>
      <c r="BG118" s="12">
        <f t="shared" si="21"/>
        <v>4.201694046645171E-3</v>
      </c>
      <c r="BH118" s="11">
        <v>8.0000000000000002E-3</v>
      </c>
      <c r="BI118" s="18"/>
      <c r="BJ118" s="38">
        <v>0</v>
      </c>
      <c r="BK118" s="12">
        <f t="shared" si="22"/>
        <v>0.1008</v>
      </c>
      <c r="BL118" s="22">
        <f t="shared" si="23"/>
        <v>3.2256</v>
      </c>
      <c r="BM118" s="23" t="s">
        <v>728</v>
      </c>
      <c r="BN118" s="15"/>
      <c r="BO118" s="38">
        <v>0</v>
      </c>
      <c r="BP118" s="38">
        <v>0</v>
      </c>
      <c r="BQ118" s="20"/>
    </row>
    <row r="119" spans="1:69" x14ac:dyDescent="0.25">
      <c r="A119" t="s">
        <v>389</v>
      </c>
      <c r="B119" t="s">
        <v>321</v>
      </c>
      <c r="T119" s="3"/>
      <c r="BD119" t="s">
        <v>601</v>
      </c>
      <c r="BE119" t="s">
        <v>336</v>
      </c>
      <c r="BF119" s="12">
        <f>BF41*0.5</f>
        <v>0.08</v>
      </c>
      <c r="BG119" s="12">
        <f t="shared" si="21"/>
        <v>2.5464812403910124E-2</v>
      </c>
      <c r="BH119" s="11">
        <v>2.5000000000000001E-2</v>
      </c>
      <c r="BI119" s="18"/>
      <c r="BJ119" s="38">
        <v>0</v>
      </c>
      <c r="BK119" s="12">
        <f>BH119*12.6</f>
        <v>0.315</v>
      </c>
      <c r="BL119" s="22">
        <f t="shared" si="23"/>
        <v>10.08</v>
      </c>
      <c r="BM119" s="23" t="s">
        <v>725</v>
      </c>
      <c r="BN119" s="21"/>
      <c r="BO119" s="38">
        <v>0</v>
      </c>
      <c r="BP119" s="38">
        <v>0</v>
      </c>
      <c r="BQ119" s="20"/>
    </row>
    <row r="120" spans="1:69" x14ac:dyDescent="0.25">
      <c r="A120" t="s">
        <v>456</v>
      </c>
      <c r="B120" t="s">
        <v>50</v>
      </c>
      <c r="T120" s="3"/>
      <c r="BD120" t="s">
        <v>602</v>
      </c>
      <c r="BE120" t="s">
        <v>336</v>
      </c>
      <c r="BF120" s="12">
        <f>BF41*0.5</f>
        <v>0.08</v>
      </c>
      <c r="BG120" s="12">
        <f t="shared" si="21"/>
        <v>2.5464812403910124E-2</v>
      </c>
      <c r="BH120" s="11">
        <v>2.5000000000000001E-2</v>
      </c>
      <c r="BI120" s="18"/>
      <c r="BJ120" s="38">
        <v>0</v>
      </c>
      <c r="BK120" s="12">
        <f t="shared" si="22"/>
        <v>0.315</v>
      </c>
      <c r="BL120" s="22">
        <f t="shared" si="23"/>
        <v>10.08</v>
      </c>
      <c r="BM120" s="23" t="s">
        <v>725</v>
      </c>
      <c r="BN120" s="21"/>
      <c r="BO120" s="38">
        <v>0</v>
      </c>
      <c r="BP120" s="38">
        <v>0</v>
      </c>
      <c r="BQ120" s="20"/>
    </row>
    <row r="121" spans="1:69" x14ac:dyDescent="0.25">
      <c r="A121" t="s">
        <v>390</v>
      </c>
      <c r="E121" t="s">
        <v>350</v>
      </c>
      <c r="T121" s="3"/>
      <c r="BD121" t="s">
        <v>603</v>
      </c>
      <c r="BE121" t="s">
        <v>337</v>
      </c>
      <c r="BF121" s="12">
        <f>BF41*0.55</f>
        <v>8.8000000000000009E-2</v>
      </c>
      <c r="BG121" s="12">
        <f t="shared" si="21"/>
        <v>2.8011293644301136E-2</v>
      </c>
      <c r="BH121" s="11">
        <v>2.5000000000000001E-2</v>
      </c>
      <c r="BI121" s="18"/>
      <c r="BJ121" s="38">
        <v>0</v>
      </c>
      <c r="BK121" s="12">
        <f t="shared" si="22"/>
        <v>0.315</v>
      </c>
      <c r="BL121" s="22">
        <f t="shared" si="23"/>
        <v>10.08</v>
      </c>
      <c r="BM121" s="23" t="s">
        <v>725</v>
      </c>
      <c r="BN121" s="21"/>
      <c r="BO121" s="38">
        <v>0</v>
      </c>
      <c r="BP121" s="38">
        <v>0</v>
      </c>
      <c r="BQ121" s="20"/>
    </row>
    <row r="122" spans="1:69" x14ac:dyDescent="0.25">
      <c r="A122" t="s">
        <v>457</v>
      </c>
      <c r="E122" t="s">
        <v>50</v>
      </c>
      <c r="T122" s="3"/>
      <c r="BD122" t="s">
        <v>604</v>
      </c>
      <c r="BE122" t="s">
        <v>338</v>
      </c>
      <c r="BF122" s="12">
        <f>BF41*0.275</f>
        <v>4.4000000000000004E-2</v>
      </c>
      <c r="BG122" s="12">
        <f t="shared" si="21"/>
        <v>1.4005646822150568E-2</v>
      </c>
      <c r="BH122" s="11">
        <v>1.2E-2</v>
      </c>
      <c r="BI122" s="18"/>
      <c r="BJ122" s="38">
        <v>0</v>
      </c>
      <c r="BK122" s="12">
        <f t="shared" si="22"/>
        <v>0.1512</v>
      </c>
      <c r="BL122" s="22">
        <f t="shared" si="23"/>
        <v>4.8384</v>
      </c>
      <c r="BM122" s="23" t="s">
        <v>726</v>
      </c>
      <c r="BN122" s="21"/>
      <c r="BO122" s="38">
        <v>0</v>
      </c>
      <c r="BP122" s="38">
        <v>0</v>
      </c>
      <c r="BQ122" s="20"/>
    </row>
    <row r="123" spans="1:69" x14ac:dyDescent="0.25">
      <c r="A123" t="s">
        <v>391</v>
      </c>
      <c r="E123" t="s">
        <v>346</v>
      </c>
      <c r="T123" s="3"/>
      <c r="BD123" t="s">
        <v>605</v>
      </c>
      <c r="BE123" t="s">
        <v>336</v>
      </c>
      <c r="BF123" s="12">
        <f>BF41*0.5</f>
        <v>0.08</v>
      </c>
      <c r="BG123" s="12">
        <f t="shared" si="21"/>
        <v>2.5464812403910124E-2</v>
      </c>
      <c r="BH123" s="11">
        <v>2.5000000000000001E-2</v>
      </c>
      <c r="BI123" s="18"/>
      <c r="BJ123" s="38">
        <v>0</v>
      </c>
      <c r="BK123" s="12">
        <f t="shared" si="22"/>
        <v>0.315</v>
      </c>
      <c r="BL123" s="22">
        <f t="shared" si="23"/>
        <v>10.08</v>
      </c>
      <c r="BM123" s="23" t="s">
        <v>725</v>
      </c>
      <c r="BN123" s="21"/>
      <c r="BO123" s="38">
        <v>0</v>
      </c>
      <c r="BP123" s="38">
        <v>0</v>
      </c>
      <c r="BQ123" s="20"/>
    </row>
    <row r="124" spans="1:69" x14ac:dyDescent="0.25">
      <c r="A124" t="s">
        <v>458</v>
      </c>
      <c r="E124" t="s">
        <v>50</v>
      </c>
      <c r="T124" s="3"/>
      <c r="BD124" t="s">
        <v>606</v>
      </c>
      <c r="BE124" t="s">
        <v>339</v>
      </c>
      <c r="BF124" s="12">
        <f>BF41*0.6</f>
        <v>9.6000000000000002E-2</v>
      </c>
      <c r="BG124" s="12">
        <f t="shared" si="21"/>
        <v>3.0557774884692149E-2</v>
      </c>
      <c r="BH124" s="11">
        <v>3.5000000000000003E-2</v>
      </c>
      <c r="BI124" s="18"/>
      <c r="BJ124" s="38">
        <v>0</v>
      </c>
      <c r="BK124" s="12">
        <f>BH124*12.6</f>
        <v>0.441</v>
      </c>
      <c r="BL124" s="22">
        <f t="shared" si="23"/>
        <v>14.112</v>
      </c>
      <c r="BM124" s="35" t="s">
        <v>775</v>
      </c>
      <c r="BN124" s="21"/>
      <c r="BO124" s="38">
        <v>0</v>
      </c>
      <c r="BP124" s="38">
        <v>0</v>
      </c>
      <c r="BQ124" s="20"/>
    </row>
    <row r="125" spans="1:69" x14ac:dyDescent="0.25">
      <c r="A125" t="s">
        <v>392</v>
      </c>
      <c r="E125" t="s">
        <v>350</v>
      </c>
      <c r="T125" s="3"/>
      <c r="BD125" t="s">
        <v>607</v>
      </c>
      <c r="BE125" t="s">
        <v>340</v>
      </c>
      <c r="BF125" s="12">
        <f>BF41*0.4</f>
        <v>6.4000000000000001E-2</v>
      </c>
      <c r="BG125" s="12">
        <f t="shared" si="21"/>
        <v>2.0371849923128099E-2</v>
      </c>
      <c r="BH125" s="11">
        <v>1.7999999999999999E-2</v>
      </c>
      <c r="BI125" s="18"/>
      <c r="BJ125" s="38">
        <v>0</v>
      </c>
      <c r="BK125" s="12">
        <f t="shared" si="22"/>
        <v>0.22679999999999997</v>
      </c>
      <c r="BL125" s="22">
        <f t="shared" si="23"/>
        <v>7.2575999999999992</v>
      </c>
      <c r="BM125" s="35" t="s">
        <v>775</v>
      </c>
      <c r="BN125" s="36" t="s">
        <v>727</v>
      </c>
      <c r="BO125" s="38">
        <v>0</v>
      </c>
      <c r="BP125" s="38">
        <v>0</v>
      </c>
      <c r="BQ125" s="20"/>
    </row>
    <row r="126" spans="1:69" x14ac:dyDescent="0.25">
      <c r="A126" t="s">
        <v>459</v>
      </c>
      <c r="E126" t="s">
        <v>50</v>
      </c>
      <c r="T126" s="3"/>
      <c r="BD126" t="s">
        <v>608</v>
      </c>
      <c r="BE126" t="s">
        <v>342</v>
      </c>
      <c r="BF126" s="12">
        <f>BF41*0.25</f>
        <v>0.04</v>
      </c>
      <c r="BG126" s="12">
        <f t="shared" si="21"/>
        <v>1.2732406201955062E-2</v>
      </c>
      <c r="BH126" s="11">
        <v>1.2E-2</v>
      </c>
      <c r="BI126" s="18"/>
      <c r="BJ126" s="38">
        <v>0</v>
      </c>
      <c r="BK126" s="12">
        <f t="shared" si="22"/>
        <v>0.1512</v>
      </c>
      <c r="BL126" s="22">
        <f t="shared" si="23"/>
        <v>4.8384</v>
      </c>
      <c r="BM126" s="23" t="s">
        <v>726</v>
      </c>
      <c r="BN126" s="21"/>
      <c r="BO126" s="38">
        <v>0</v>
      </c>
      <c r="BP126" s="38">
        <v>0</v>
      </c>
      <c r="BQ126" s="20"/>
    </row>
    <row r="127" spans="1:69" x14ac:dyDescent="0.25">
      <c r="A127" t="s">
        <v>393</v>
      </c>
      <c r="E127" t="s">
        <v>352</v>
      </c>
      <c r="T127" s="3"/>
      <c r="BD127" t="s">
        <v>609</v>
      </c>
      <c r="BE127" t="s">
        <v>341</v>
      </c>
      <c r="BF127" s="12">
        <f>BF41*0.285</f>
        <v>4.5599999999999995E-2</v>
      </c>
      <c r="BG127" s="12">
        <f t="shared" si="21"/>
        <v>1.4514943070228768E-2</v>
      </c>
      <c r="BH127" s="11">
        <v>1.2E-2</v>
      </c>
      <c r="BI127" s="18"/>
      <c r="BJ127" s="38">
        <v>0</v>
      </c>
      <c r="BK127" s="12">
        <f t="shared" si="22"/>
        <v>0.1512</v>
      </c>
      <c r="BL127" s="22">
        <f t="shared" si="23"/>
        <v>4.8384</v>
      </c>
      <c r="BM127" s="23" t="s">
        <v>726</v>
      </c>
      <c r="BN127" s="21"/>
      <c r="BO127" s="38">
        <v>0</v>
      </c>
      <c r="BP127" s="38">
        <v>0</v>
      </c>
      <c r="BQ127" s="20"/>
    </row>
    <row r="128" spans="1:69" x14ac:dyDescent="0.25">
      <c r="A128" t="s">
        <v>460</v>
      </c>
      <c r="E128" t="s">
        <v>50</v>
      </c>
      <c r="T128" s="3"/>
      <c r="BD128" t="s">
        <v>610</v>
      </c>
      <c r="BE128" t="s">
        <v>343</v>
      </c>
      <c r="BF128" s="12">
        <f>BF41*0.3</f>
        <v>4.8000000000000001E-2</v>
      </c>
      <c r="BG128" s="12">
        <f t="shared" si="21"/>
        <v>1.5278887442346074E-2</v>
      </c>
      <c r="BH128" s="11">
        <v>1.7999999999999999E-2</v>
      </c>
      <c r="BI128" s="18"/>
      <c r="BJ128" s="38">
        <v>0</v>
      </c>
      <c r="BK128" s="12">
        <f t="shared" si="22"/>
        <v>0.22679999999999997</v>
      </c>
      <c r="BL128" s="22">
        <f t="shared" si="23"/>
        <v>7.2575999999999992</v>
      </c>
      <c r="BM128" s="35" t="s">
        <v>775</v>
      </c>
      <c r="BN128" s="36" t="s">
        <v>727</v>
      </c>
      <c r="BO128" s="38">
        <v>0</v>
      </c>
      <c r="BP128" s="38">
        <v>0</v>
      </c>
      <c r="BQ128" s="20"/>
    </row>
    <row r="129" spans="1:69" x14ac:dyDescent="0.25">
      <c r="A129" t="s">
        <v>394</v>
      </c>
      <c r="T129" s="3"/>
      <c r="BD129" t="s">
        <v>611</v>
      </c>
      <c r="BE129" t="s">
        <v>340</v>
      </c>
      <c r="BF129" s="12">
        <f>BF41*0.4</f>
        <v>6.4000000000000001E-2</v>
      </c>
      <c r="BG129" s="12">
        <f t="shared" si="21"/>
        <v>2.0371849923128099E-2</v>
      </c>
      <c r="BH129" s="11">
        <v>1.7999999999999999E-2</v>
      </c>
      <c r="BI129" s="18"/>
      <c r="BJ129" s="38">
        <v>0</v>
      </c>
      <c r="BK129" s="12">
        <f t="shared" si="22"/>
        <v>0.22679999999999997</v>
      </c>
      <c r="BL129" s="22">
        <f t="shared" si="23"/>
        <v>7.2575999999999992</v>
      </c>
      <c r="BM129" s="35" t="s">
        <v>775</v>
      </c>
      <c r="BN129" s="36" t="s">
        <v>727</v>
      </c>
      <c r="BO129" s="38">
        <v>0</v>
      </c>
      <c r="BP129" s="38">
        <v>0</v>
      </c>
      <c r="BQ129" s="20"/>
    </row>
    <row r="130" spans="1:69" x14ac:dyDescent="0.25">
      <c r="A130" t="s">
        <v>461</v>
      </c>
      <c r="T130" s="3"/>
      <c r="BD130" t="s">
        <v>612</v>
      </c>
      <c r="BE130" t="s">
        <v>340</v>
      </c>
      <c r="BF130" s="12">
        <f>BF41*0.4</f>
        <v>6.4000000000000001E-2</v>
      </c>
      <c r="BG130" s="12">
        <f t="shared" si="21"/>
        <v>2.0371849923128099E-2</v>
      </c>
      <c r="BH130" s="11">
        <v>1.7999999999999999E-2</v>
      </c>
      <c r="BI130" s="18"/>
      <c r="BJ130" s="38">
        <v>0</v>
      </c>
      <c r="BK130" s="12">
        <f t="shared" si="22"/>
        <v>0.22679999999999997</v>
      </c>
      <c r="BL130" s="22">
        <f t="shared" si="23"/>
        <v>7.2575999999999992</v>
      </c>
      <c r="BM130" s="35" t="s">
        <v>775</v>
      </c>
      <c r="BN130" s="36" t="s">
        <v>727</v>
      </c>
      <c r="BO130" s="38">
        <v>0</v>
      </c>
      <c r="BP130" s="38">
        <v>0</v>
      </c>
      <c r="BQ130" s="20"/>
    </row>
    <row r="131" spans="1:69" x14ac:dyDescent="0.25">
      <c r="A131" t="s">
        <v>395</v>
      </c>
      <c r="B131" t="s">
        <v>312</v>
      </c>
      <c r="E131" t="s">
        <v>353</v>
      </c>
      <c r="T131" s="3"/>
      <c r="BD131" t="s">
        <v>613</v>
      </c>
      <c r="BE131" t="s">
        <v>358</v>
      </c>
      <c r="BF131" s="12">
        <f>BF41 * 0.06</f>
        <v>9.5999999999999992E-3</v>
      </c>
      <c r="BG131" s="12">
        <f t="shared" si="21"/>
        <v>3.0557774884692143E-3</v>
      </c>
      <c r="BH131" s="11">
        <v>8.0000000000000002E-3</v>
      </c>
      <c r="BI131" s="18"/>
      <c r="BJ131" s="38">
        <v>0</v>
      </c>
      <c r="BK131" s="12">
        <f t="shared" si="22"/>
        <v>0.1008</v>
      </c>
      <c r="BL131" s="22">
        <f t="shared" si="23"/>
        <v>3.2256</v>
      </c>
      <c r="BM131" s="23" t="s">
        <v>728</v>
      </c>
      <c r="BN131" s="21"/>
      <c r="BO131" s="38">
        <v>0</v>
      </c>
      <c r="BP131" s="38">
        <v>0</v>
      </c>
      <c r="BQ131" s="20"/>
    </row>
    <row r="132" spans="1:69" x14ac:dyDescent="0.25">
      <c r="A132" t="s">
        <v>462</v>
      </c>
      <c r="B132" t="s">
        <v>50</v>
      </c>
      <c r="E132" t="s">
        <v>50</v>
      </c>
      <c r="T132" s="3"/>
      <c r="BD132" t="s">
        <v>614</v>
      </c>
      <c r="BE132" t="s">
        <v>344</v>
      </c>
      <c r="BF132" s="12">
        <f>BF41*0.33</f>
        <v>5.2800000000000007E-2</v>
      </c>
      <c r="BG132" s="12">
        <f t="shared" ref="BG132:BG144" si="24">BF132/3.14159</f>
        <v>1.6806776186580684E-2</v>
      </c>
      <c r="BH132" s="11">
        <v>1.7999999999999999E-2</v>
      </c>
      <c r="BI132" s="18"/>
      <c r="BJ132" s="38">
        <v>0</v>
      </c>
      <c r="BK132" s="12">
        <f t="shared" ref="BK132:BK142" si="25">BH132*12.6</f>
        <v>0.22679999999999997</v>
      </c>
      <c r="BL132" s="22">
        <f t="shared" ref="BL132:BL142" si="26">BK132/0.03125</f>
        <v>7.2575999999999992</v>
      </c>
      <c r="BM132" s="35" t="s">
        <v>775</v>
      </c>
      <c r="BN132" s="36" t="s">
        <v>727</v>
      </c>
      <c r="BO132" s="38">
        <v>0</v>
      </c>
      <c r="BP132" s="38">
        <v>0</v>
      </c>
      <c r="BQ132" s="20"/>
    </row>
    <row r="133" spans="1:69" x14ac:dyDescent="0.25">
      <c r="A133" t="s">
        <v>396</v>
      </c>
      <c r="B133" t="s">
        <v>313</v>
      </c>
      <c r="E133" t="s">
        <v>351</v>
      </c>
      <c r="T133" s="3"/>
      <c r="BD133" t="s">
        <v>615</v>
      </c>
      <c r="BE133" t="s">
        <v>340</v>
      </c>
      <c r="BF133" s="12">
        <f>BF41*0.4</f>
        <v>6.4000000000000001E-2</v>
      </c>
      <c r="BG133" s="12">
        <f t="shared" si="24"/>
        <v>2.0371849923128099E-2</v>
      </c>
      <c r="BH133" s="11">
        <v>1.7999999999999999E-2</v>
      </c>
      <c r="BI133" s="18"/>
      <c r="BJ133" s="38">
        <v>0</v>
      </c>
      <c r="BK133" s="12">
        <f t="shared" si="25"/>
        <v>0.22679999999999997</v>
      </c>
      <c r="BL133" s="22">
        <f t="shared" si="26"/>
        <v>7.2575999999999992</v>
      </c>
      <c r="BM133" s="35" t="s">
        <v>775</v>
      </c>
      <c r="BN133" s="36" t="s">
        <v>727</v>
      </c>
      <c r="BO133" s="38">
        <v>0</v>
      </c>
      <c r="BP133" s="38">
        <v>0</v>
      </c>
      <c r="BQ133" s="20"/>
    </row>
    <row r="134" spans="1:69" x14ac:dyDescent="0.25">
      <c r="A134" t="s">
        <v>463</v>
      </c>
      <c r="B134" t="s">
        <v>50</v>
      </c>
      <c r="E134" t="s">
        <v>50</v>
      </c>
      <c r="T134" s="3"/>
      <c r="BD134" t="s">
        <v>616</v>
      </c>
      <c r="BE134" t="s">
        <v>336</v>
      </c>
      <c r="BF134" s="12">
        <f>BF41*0.5</f>
        <v>0.08</v>
      </c>
      <c r="BG134" s="12">
        <f t="shared" si="24"/>
        <v>2.5464812403910124E-2</v>
      </c>
      <c r="BH134" s="11">
        <v>2.5000000000000001E-2</v>
      </c>
      <c r="BI134" s="18"/>
      <c r="BJ134" s="38">
        <v>0</v>
      </c>
      <c r="BK134" s="12">
        <f t="shared" si="25"/>
        <v>0.315</v>
      </c>
      <c r="BL134" s="22">
        <f t="shared" si="26"/>
        <v>10.08</v>
      </c>
      <c r="BM134" s="23" t="s">
        <v>725</v>
      </c>
      <c r="BN134" s="21"/>
      <c r="BO134" s="38">
        <v>0</v>
      </c>
      <c r="BP134" s="38">
        <v>0</v>
      </c>
      <c r="BQ134" s="20"/>
    </row>
    <row r="135" spans="1:69" x14ac:dyDescent="0.25">
      <c r="A135" t="s">
        <v>397</v>
      </c>
      <c r="B135" t="s">
        <v>312</v>
      </c>
      <c r="T135" s="3"/>
      <c r="BD135" t="s">
        <v>617</v>
      </c>
      <c r="BE135" t="s">
        <v>342</v>
      </c>
      <c r="BF135" s="12">
        <f>BF41*0.25</f>
        <v>0.04</v>
      </c>
      <c r="BG135" s="12">
        <f t="shared" si="24"/>
        <v>1.2732406201955062E-2</v>
      </c>
      <c r="BH135" s="11">
        <v>1.2E-2</v>
      </c>
      <c r="BI135" s="18"/>
      <c r="BJ135" s="38">
        <v>0</v>
      </c>
      <c r="BK135" s="12">
        <f t="shared" si="25"/>
        <v>0.1512</v>
      </c>
      <c r="BL135" s="22">
        <f t="shared" si="26"/>
        <v>4.8384</v>
      </c>
      <c r="BM135" s="23" t="s">
        <v>726</v>
      </c>
      <c r="BN135" s="21"/>
      <c r="BO135" s="38">
        <v>0</v>
      </c>
      <c r="BP135" s="38">
        <v>0</v>
      </c>
      <c r="BQ135" s="20"/>
    </row>
    <row r="136" spans="1:69" x14ac:dyDescent="0.25">
      <c r="A136" t="s">
        <v>464</v>
      </c>
      <c r="B136" t="s">
        <v>50</v>
      </c>
      <c r="T136" s="3"/>
      <c r="BD136" t="s">
        <v>618</v>
      </c>
      <c r="BE136" t="s">
        <v>336</v>
      </c>
      <c r="BF136" s="12">
        <f>BF41*0.5</f>
        <v>0.08</v>
      </c>
      <c r="BG136" s="12">
        <f t="shared" si="24"/>
        <v>2.5464812403910124E-2</v>
      </c>
      <c r="BH136" s="11">
        <v>2.5000000000000001E-2</v>
      </c>
      <c r="BI136" s="18"/>
      <c r="BJ136" s="38">
        <v>0</v>
      </c>
      <c r="BK136" s="12">
        <f t="shared" si="25"/>
        <v>0.315</v>
      </c>
      <c r="BL136" s="22">
        <f t="shared" si="26"/>
        <v>10.08</v>
      </c>
      <c r="BM136" s="23" t="s">
        <v>725</v>
      </c>
      <c r="BN136" s="21"/>
      <c r="BO136" s="38">
        <v>0</v>
      </c>
      <c r="BP136" s="38">
        <v>0</v>
      </c>
      <c r="BQ136" s="20"/>
    </row>
    <row r="137" spans="1:69" x14ac:dyDescent="0.25">
      <c r="A137" t="s">
        <v>398</v>
      </c>
      <c r="B137" t="s">
        <v>314</v>
      </c>
      <c r="E137" t="s">
        <v>354</v>
      </c>
      <c r="T137" s="3"/>
      <c r="BD137" t="s">
        <v>619</v>
      </c>
      <c r="BE137" t="s">
        <v>344</v>
      </c>
      <c r="BF137" s="12">
        <f>BF41*0.33</f>
        <v>5.2800000000000007E-2</v>
      </c>
      <c r="BG137" s="12">
        <f t="shared" si="24"/>
        <v>1.6806776186580684E-2</v>
      </c>
      <c r="BH137" s="11">
        <v>1.7999999999999999E-2</v>
      </c>
      <c r="BI137" s="18"/>
      <c r="BJ137" s="38">
        <v>0</v>
      </c>
      <c r="BK137" s="12">
        <f t="shared" si="25"/>
        <v>0.22679999999999997</v>
      </c>
      <c r="BL137" s="22">
        <f t="shared" si="26"/>
        <v>7.2575999999999992</v>
      </c>
      <c r="BM137" s="35" t="s">
        <v>775</v>
      </c>
      <c r="BN137" s="36" t="s">
        <v>727</v>
      </c>
      <c r="BO137" s="38">
        <v>0</v>
      </c>
      <c r="BP137" s="38">
        <v>0</v>
      </c>
      <c r="BQ137" s="20"/>
    </row>
    <row r="138" spans="1:69" x14ac:dyDescent="0.25">
      <c r="A138" t="s">
        <v>465</v>
      </c>
      <c r="B138" t="s">
        <v>50</v>
      </c>
      <c r="E138" t="s">
        <v>50</v>
      </c>
      <c r="T138" s="3"/>
      <c r="BD138" t="s">
        <v>620</v>
      </c>
      <c r="BE138" t="s">
        <v>345</v>
      </c>
      <c r="BF138" s="12">
        <f>BH9*0.62</f>
        <v>0.19839999999999999</v>
      </c>
      <c r="BG138" s="12">
        <f t="shared" si="24"/>
        <v>6.3152734761697096E-2</v>
      </c>
      <c r="BH138" s="11">
        <v>6.3E-2</v>
      </c>
      <c r="BI138" s="18"/>
      <c r="BJ138" s="38">
        <v>0</v>
      </c>
      <c r="BK138" s="12"/>
      <c r="BL138" s="22"/>
      <c r="BM138" s="21"/>
      <c r="BN138" s="21"/>
      <c r="BQ138" s="20"/>
    </row>
    <row r="139" spans="1:69" x14ac:dyDescent="0.25">
      <c r="A139" t="s">
        <v>399</v>
      </c>
      <c r="B139" t="s">
        <v>322</v>
      </c>
      <c r="T139" s="3"/>
      <c r="BD139" t="s">
        <v>621</v>
      </c>
      <c r="BE139" t="s">
        <v>346</v>
      </c>
      <c r="BF139" s="12">
        <f>BF41*0.45</f>
        <v>7.2000000000000008E-2</v>
      </c>
      <c r="BG139" s="12">
        <f t="shared" si="24"/>
        <v>2.2918331163519112E-2</v>
      </c>
      <c r="BH139" s="11">
        <v>2.5000000000000001E-2</v>
      </c>
      <c r="BI139" s="18"/>
      <c r="BJ139" s="38">
        <v>0</v>
      </c>
      <c r="BK139" s="12">
        <f t="shared" si="25"/>
        <v>0.315</v>
      </c>
      <c r="BL139" s="22">
        <f t="shared" si="26"/>
        <v>10.08</v>
      </c>
      <c r="BM139" s="23" t="s">
        <v>725</v>
      </c>
      <c r="BN139" s="21"/>
      <c r="BO139" s="38">
        <v>0</v>
      </c>
      <c r="BP139" s="38">
        <v>0</v>
      </c>
      <c r="BQ139" s="20"/>
    </row>
    <row r="140" spans="1:69" x14ac:dyDescent="0.25">
      <c r="A140" t="s">
        <v>466</v>
      </c>
      <c r="B140" t="s">
        <v>50</v>
      </c>
      <c r="T140" s="3"/>
      <c r="BD140" t="s">
        <v>622</v>
      </c>
      <c r="BE140" t="s">
        <v>342</v>
      </c>
      <c r="BF140" s="12">
        <f>BF41*0.25</f>
        <v>0.04</v>
      </c>
      <c r="BG140" s="12">
        <f t="shared" si="24"/>
        <v>1.2732406201955062E-2</v>
      </c>
      <c r="BH140" s="11">
        <v>1.2E-2</v>
      </c>
      <c r="BI140" s="18"/>
      <c r="BJ140" s="38">
        <v>0</v>
      </c>
      <c r="BK140" s="12">
        <f t="shared" si="25"/>
        <v>0.1512</v>
      </c>
      <c r="BL140" s="22">
        <f t="shared" si="26"/>
        <v>4.8384</v>
      </c>
      <c r="BM140" s="23" t="s">
        <v>726</v>
      </c>
      <c r="BN140" s="15"/>
      <c r="BO140" s="38">
        <v>0</v>
      </c>
      <c r="BP140" s="38">
        <v>0</v>
      </c>
      <c r="BQ140" s="20"/>
    </row>
    <row r="141" spans="1:69" x14ac:dyDescent="0.25">
      <c r="A141" t="s">
        <v>400</v>
      </c>
      <c r="B141" t="s">
        <v>315</v>
      </c>
      <c r="E141" t="s">
        <v>336</v>
      </c>
      <c r="T141" s="3"/>
      <c r="BD141" t="s">
        <v>623</v>
      </c>
      <c r="BE141" t="s">
        <v>347</v>
      </c>
      <c r="BF141" s="12">
        <f>BF41*0.22</f>
        <v>3.5200000000000002E-2</v>
      </c>
      <c r="BG141" s="12">
        <f t="shared" si="24"/>
        <v>1.1204517457720454E-2</v>
      </c>
      <c r="BH141" s="11">
        <v>1.2E-2</v>
      </c>
      <c r="BI141" s="18"/>
      <c r="BJ141" s="38">
        <v>0</v>
      </c>
      <c r="BK141" s="12">
        <f t="shared" si="25"/>
        <v>0.1512</v>
      </c>
      <c r="BL141" s="22">
        <f t="shared" si="26"/>
        <v>4.8384</v>
      </c>
      <c r="BM141" s="23" t="s">
        <v>726</v>
      </c>
      <c r="BN141" s="15"/>
      <c r="BO141" s="38">
        <v>0</v>
      </c>
      <c r="BP141" s="38">
        <v>0</v>
      </c>
      <c r="BQ141" s="20"/>
    </row>
    <row r="142" spans="1:69" x14ac:dyDescent="0.25">
      <c r="A142" t="s">
        <v>467</v>
      </c>
      <c r="B142" t="s">
        <v>50</v>
      </c>
      <c r="E142" t="s">
        <v>50</v>
      </c>
      <c r="T142" s="3"/>
      <c r="BD142" t="s">
        <v>624</v>
      </c>
      <c r="BE142" t="s">
        <v>348</v>
      </c>
      <c r="BF142" s="12">
        <f>2/48</f>
        <v>4.1666666666666664E-2</v>
      </c>
      <c r="BG142" s="12">
        <f t="shared" si="24"/>
        <v>1.3262923127036521E-2</v>
      </c>
      <c r="BH142" s="11">
        <v>1.2E-2</v>
      </c>
      <c r="BI142" s="18"/>
      <c r="BJ142" s="38">
        <v>0</v>
      </c>
      <c r="BK142" s="12">
        <f t="shared" si="25"/>
        <v>0.1512</v>
      </c>
      <c r="BL142" s="22">
        <f t="shared" si="26"/>
        <v>4.8384</v>
      </c>
      <c r="BM142" s="23" t="s">
        <v>726</v>
      </c>
      <c r="BN142" s="15"/>
      <c r="BO142" s="38">
        <v>0</v>
      </c>
      <c r="BP142" s="38">
        <v>0</v>
      </c>
      <c r="BQ142" s="20"/>
    </row>
    <row r="143" spans="1:69" x14ac:dyDescent="0.25">
      <c r="A143" t="s">
        <v>401</v>
      </c>
      <c r="B143" t="s">
        <v>317</v>
      </c>
      <c r="E143" t="s">
        <v>353</v>
      </c>
      <c r="T143" s="3"/>
      <c r="BD143" t="s">
        <v>715</v>
      </c>
      <c r="BE143" t="s">
        <v>720</v>
      </c>
      <c r="BF143" s="12">
        <f>3.75/48*0.95</f>
        <v>7.421875E-2</v>
      </c>
      <c r="BG143" s="12">
        <f t="shared" si="24"/>
        <v>2.3624581820033807E-2</v>
      </c>
      <c r="BH143" s="11">
        <v>2.5000000000000001E-2</v>
      </c>
      <c r="BI143" s="18"/>
      <c r="BJ143" s="38">
        <v>0</v>
      </c>
      <c r="BK143" s="12"/>
      <c r="BL143" s="22"/>
      <c r="BM143" s="21"/>
      <c r="BN143" s="21"/>
      <c r="BQ143" s="20"/>
    </row>
    <row r="144" spans="1:69" x14ac:dyDescent="0.25">
      <c r="A144" t="s">
        <v>468</v>
      </c>
      <c r="B144" t="s">
        <v>50</v>
      </c>
      <c r="E144" t="s">
        <v>50</v>
      </c>
      <c r="T144" s="3"/>
      <c r="BD144" t="s">
        <v>716</v>
      </c>
      <c r="BE144" t="s">
        <v>721</v>
      </c>
      <c r="BF144" s="12">
        <f>4.5/48*0.95</f>
        <v>8.9062499999999989E-2</v>
      </c>
      <c r="BG144" s="12">
        <f t="shared" si="24"/>
        <v>2.8349498184040561E-2</v>
      </c>
      <c r="BH144" s="11">
        <v>2.5000000000000001E-2</v>
      </c>
      <c r="BI144" s="18"/>
      <c r="BJ144" s="38">
        <v>0</v>
      </c>
      <c r="BK144" s="12"/>
      <c r="BL144" s="22"/>
      <c r="BM144" s="21"/>
      <c r="BN144" s="21"/>
      <c r="BQ144" s="20"/>
    </row>
    <row r="145" spans="1:69" x14ac:dyDescent="0.25">
      <c r="A145" t="s">
        <v>402</v>
      </c>
      <c r="B145" t="s">
        <v>316</v>
      </c>
      <c r="T145" s="3"/>
      <c r="BQ145" s="20"/>
    </row>
    <row r="146" spans="1:69" x14ac:dyDescent="0.25">
      <c r="A146" t="s">
        <v>469</v>
      </c>
      <c r="B146" t="s">
        <v>50</v>
      </c>
      <c r="T146" s="3"/>
      <c r="BQ146" s="20"/>
    </row>
    <row r="147" spans="1:69" x14ac:dyDescent="0.25">
      <c r="A147" t="s">
        <v>403</v>
      </c>
      <c r="B147" t="s">
        <v>318</v>
      </c>
      <c r="E147" t="s">
        <v>365</v>
      </c>
      <c r="T147" s="3"/>
      <c r="BQ147" s="20"/>
    </row>
    <row r="148" spans="1:69" x14ac:dyDescent="0.25">
      <c r="A148" t="s">
        <v>470</v>
      </c>
      <c r="B148" t="s">
        <v>50</v>
      </c>
      <c r="E148" t="s">
        <v>50</v>
      </c>
      <c r="T148" s="3"/>
      <c r="BQ148" s="20"/>
    </row>
    <row r="149" spans="1:69" x14ac:dyDescent="0.25">
      <c r="A149" t="s">
        <v>404</v>
      </c>
      <c r="B149" t="s">
        <v>324</v>
      </c>
      <c r="E149" t="s">
        <v>359</v>
      </c>
      <c r="T149" s="3"/>
      <c r="BD149" s="44" t="s">
        <v>784</v>
      </c>
      <c r="BQ149" s="20"/>
    </row>
    <row r="150" spans="1:69" x14ac:dyDescent="0.25">
      <c r="A150" t="s">
        <v>471</v>
      </c>
      <c r="B150" t="s">
        <v>50</v>
      </c>
      <c r="E150" t="s">
        <v>50</v>
      </c>
      <c r="T150" s="3"/>
      <c r="BD150" s="32" t="s">
        <v>780</v>
      </c>
      <c r="BQ150" s="20"/>
    </row>
    <row r="151" spans="1:69" x14ac:dyDescent="0.25">
      <c r="A151" t="s">
        <v>405</v>
      </c>
      <c r="B151" t="s">
        <v>318</v>
      </c>
      <c r="E151" t="s">
        <v>359</v>
      </c>
      <c r="T151" s="3"/>
      <c r="BD151" s="32" t="s">
        <v>781</v>
      </c>
      <c r="BQ151" s="20"/>
    </row>
    <row r="152" spans="1:69" x14ac:dyDescent="0.25">
      <c r="A152" t="s">
        <v>472</v>
      </c>
      <c r="B152" t="s">
        <v>50</v>
      </c>
      <c r="T152" s="3"/>
      <c r="BD152" s="32" t="s">
        <v>782</v>
      </c>
    </row>
    <row r="153" spans="1:69" x14ac:dyDescent="0.25">
      <c r="A153" t="s">
        <v>406</v>
      </c>
      <c r="B153" t="s">
        <v>324</v>
      </c>
      <c r="T153" s="3"/>
      <c r="BD153" s="32" t="s">
        <v>783</v>
      </c>
    </row>
    <row r="154" spans="1:69" x14ac:dyDescent="0.25">
      <c r="A154" t="s">
        <v>473</v>
      </c>
      <c r="B154" t="s">
        <v>50</v>
      </c>
      <c r="T154" s="3"/>
    </row>
    <row r="155" spans="1:69" x14ac:dyDescent="0.25">
      <c r="A155" t="s">
        <v>407</v>
      </c>
      <c r="B155" t="s">
        <v>319</v>
      </c>
      <c r="T155" s="3"/>
    </row>
    <row r="156" spans="1:69" x14ac:dyDescent="0.25">
      <c r="A156" t="s">
        <v>474</v>
      </c>
      <c r="B156" t="s">
        <v>50</v>
      </c>
      <c r="T156" s="3"/>
    </row>
    <row r="157" spans="1:69" x14ac:dyDescent="0.25">
      <c r="A157" t="s">
        <v>408</v>
      </c>
      <c r="B157" t="s">
        <v>319</v>
      </c>
      <c r="T157" s="3"/>
    </row>
    <row r="158" spans="1:69" x14ac:dyDescent="0.25">
      <c r="A158" t="s">
        <v>475</v>
      </c>
      <c r="B158" t="s">
        <v>50</v>
      </c>
      <c r="T158" s="3"/>
    </row>
    <row r="159" spans="1:69" x14ac:dyDescent="0.25">
      <c r="A159" t="s">
        <v>409</v>
      </c>
      <c r="B159" t="s">
        <v>320</v>
      </c>
      <c r="T159" s="3"/>
    </row>
    <row r="160" spans="1:69" x14ac:dyDescent="0.25">
      <c r="A160" t="s">
        <v>476</v>
      </c>
      <c r="B160" t="s">
        <v>50</v>
      </c>
      <c r="T160" s="3"/>
    </row>
    <row r="161" spans="1:20" x14ac:dyDescent="0.25">
      <c r="A161" t="s">
        <v>410</v>
      </c>
      <c r="B161" t="s">
        <v>323</v>
      </c>
      <c r="T161" s="3"/>
    </row>
    <row r="162" spans="1:20" x14ac:dyDescent="0.25">
      <c r="A162" t="s">
        <v>477</v>
      </c>
      <c r="B162" t="s">
        <v>50</v>
      </c>
      <c r="T162" s="3"/>
    </row>
    <row r="163" spans="1:20" x14ac:dyDescent="0.25">
      <c r="A163" t="s">
        <v>411</v>
      </c>
      <c r="B163" t="s">
        <v>318</v>
      </c>
      <c r="T163" s="3"/>
    </row>
    <row r="164" spans="1:20" x14ac:dyDescent="0.25">
      <c r="A164" t="s">
        <v>478</v>
      </c>
      <c r="B164" t="s">
        <v>50</v>
      </c>
      <c r="T164" s="3"/>
    </row>
    <row r="165" spans="1:20" x14ac:dyDescent="0.25">
      <c r="A165" t="s">
        <v>412</v>
      </c>
      <c r="B165" t="s">
        <v>317</v>
      </c>
      <c r="E165" t="s">
        <v>363</v>
      </c>
      <c r="T165" s="3"/>
    </row>
    <row r="166" spans="1:20" x14ac:dyDescent="0.25">
      <c r="A166" t="s">
        <v>479</v>
      </c>
      <c r="B166" t="s">
        <v>50</v>
      </c>
      <c r="E166" t="s">
        <v>50</v>
      </c>
      <c r="T166" s="3"/>
    </row>
    <row r="167" spans="1:20" x14ac:dyDescent="0.25">
      <c r="A167" t="s">
        <v>413</v>
      </c>
      <c r="B167" t="s">
        <v>317</v>
      </c>
      <c r="E167" t="s">
        <v>364</v>
      </c>
      <c r="T167" s="3"/>
    </row>
    <row r="168" spans="1:20" x14ac:dyDescent="0.25">
      <c r="A168" t="s">
        <v>480</v>
      </c>
      <c r="B168" t="s">
        <v>50</v>
      </c>
      <c r="E168" t="s">
        <v>50</v>
      </c>
      <c r="T168" s="3"/>
    </row>
    <row r="169" spans="1:20" x14ac:dyDescent="0.25">
      <c r="A169" t="s">
        <v>414</v>
      </c>
      <c r="B169" t="s">
        <v>324</v>
      </c>
      <c r="T169" s="3"/>
    </row>
    <row r="170" spans="1:20" x14ac:dyDescent="0.25">
      <c r="A170" t="s">
        <v>481</v>
      </c>
      <c r="B170" t="s">
        <v>50</v>
      </c>
      <c r="T170" s="3"/>
    </row>
    <row r="171" spans="1:20" x14ac:dyDescent="0.25">
      <c r="A171" t="s">
        <v>415</v>
      </c>
      <c r="B171" t="s">
        <v>318</v>
      </c>
      <c r="E171" t="s">
        <v>365</v>
      </c>
      <c r="T171" s="3"/>
    </row>
    <row r="172" spans="1:20" x14ac:dyDescent="0.25">
      <c r="A172" t="s">
        <v>482</v>
      </c>
      <c r="B172" t="s">
        <v>50</v>
      </c>
      <c r="E172" t="s">
        <v>50</v>
      </c>
      <c r="T172" s="3"/>
    </row>
    <row r="173" spans="1:20" x14ac:dyDescent="0.25">
      <c r="A173" t="s">
        <v>416</v>
      </c>
      <c r="B173" t="s">
        <v>318</v>
      </c>
      <c r="E173" t="s">
        <v>361</v>
      </c>
      <c r="T173" s="3"/>
    </row>
    <row r="174" spans="1:20" x14ac:dyDescent="0.25">
      <c r="A174" t="s">
        <v>483</v>
      </c>
      <c r="B174" t="s">
        <v>50</v>
      </c>
      <c r="E174" t="s">
        <v>50</v>
      </c>
      <c r="T174" s="3"/>
    </row>
    <row r="175" spans="1:20" x14ac:dyDescent="0.25">
      <c r="A175" t="s">
        <v>417</v>
      </c>
      <c r="B175" t="s">
        <v>366</v>
      </c>
      <c r="E175" t="s">
        <v>352</v>
      </c>
      <c r="T175" s="3"/>
    </row>
    <row r="176" spans="1:20" x14ac:dyDescent="0.25">
      <c r="A176" t="s">
        <v>484</v>
      </c>
      <c r="B176" t="s">
        <v>50</v>
      </c>
      <c r="E176" t="s">
        <v>50</v>
      </c>
      <c r="T176" s="3"/>
    </row>
    <row r="177" spans="1:5" x14ac:dyDescent="0.25">
      <c r="A177" t="s">
        <v>418</v>
      </c>
      <c r="B177" t="s">
        <v>367</v>
      </c>
      <c r="E177" t="s">
        <v>365</v>
      </c>
    </row>
    <row r="178" spans="1:5" x14ac:dyDescent="0.25">
      <c r="A178" t="s">
        <v>485</v>
      </c>
      <c r="B178" t="s">
        <v>50</v>
      </c>
      <c r="E178" t="s">
        <v>50</v>
      </c>
    </row>
    <row r="179" spans="1:5" x14ac:dyDescent="0.25">
      <c r="A179" t="s">
        <v>419</v>
      </c>
      <c r="B179" t="s">
        <v>366</v>
      </c>
      <c r="E179" t="s">
        <v>352</v>
      </c>
    </row>
    <row r="180" spans="1:5" x14ac:dyDescent="0.25">
      <c r="A180" t="s">
        <v>486</v>
      </c>
      <c r="B180" t="s">
        <v>50</v>
      </c>
      <c r="E180" t="s">
        <v>50</v>
      </c>
    </row>
    <row r="181" spans="1:5" x14ac:dyDescent="0.25">
      <c r="A181" t="s">
        <v>420</v>
      </c>
      <c r="B181" t="s">
        <v>368</v>
      </c>
      <c r="E181" t="s">
        <v>361</v>
      </c>
    </row>
    <row r="182" spans="1:5" x14ac:dyDescent="0.25">
      <c r="A182" t="s">
        <v>487</v>
      </c>
      <c r="B182" t="s">
        <v>50</v>
      </c>
      <c r="E182" t="s">
        <v>50</v>
      </c>
    </row>
    <row r="183" spans="1:5" x14ac:dyDescent="0.25">
      <c r="A183" t="s">
        <v>421</v>
      </c>
      <c r="B183" t="s">
        <v>369</v>
      </c>
      <c r="E183" t="s">
        <v>361</v>
      </c>
    </row>
    <row r="184" spans="1:5" x14ac:dyDescent="0.25">
      <c r="A184" t="s">
        <v>488</v>
      </c>
      <c r="B184" t="s">
        <v>50</v>
      </c>
      <c r="E184" t="s">
        <v>50</v>
      </c>
    </row>
    <row r="185" spans="1:5" x14ac:dyDescent="0.25">
      <c r="A185" t="s">
        <v>422</v>
      </c>
      <c r="B185" t="s">
        <v>318</v>
      </c>
      <c r="E185" t="s">
        <v>362</v>
      </c>
    </row>
    <row r="186" spans="1:5" x14ac:dyDescent="0.25">
      <c r="A186" t="s">
        <v>489</v>
      </c>
      <c r="B186" t="s">
        <v>50</v>
      </c>
      <c r="E186" t="s">
        <v>50</v>
      </c>
    </row>
    <row r="187" spans="1:5" x14ac:dyDescent="0.25">
      <c r="A187" t="s">
        <v>423</v>
      </c>
      <c r="B187" t="s">
        <v>325</v>
      </c>
      <c r="E187" t="s">
        <v>359</v>
      </c>
    </row>
    <row r="188" spans="1:5" x14ac:dyDescent="0.25">
      <c r="A188" t="s">
        <v>490</v>
      </c>
      <c r="B188" t="s">
        <v>50</v>
      </c>
      <c r="E188" t="s">
        <v>50</v>
      </c>
    </row>
    <row r="189" spans="1:5" x14ac:dyDescent="0.25">
      <c r="A189" t="s">
        <v>424</v>
      </c>
      <c r="B189" t="s">
        <v>370</v>
      </c>
      <c r="E189" t="s">
        <v>360</v>
      </c>
    </row>
    <row r="190" spans="1:5" x14ac:dyDescent="0.25">
      <c r="A190" t="s">
        <v>491</v>
      </c>
      <c r="B190" t="s">
        <v>50</v>
      </c>
      <c r="E190" t="s">
        <v>50</v>
      </c>
    </row>
    <row r="191" spans="1:5" x14ac:dyDescent="0.25">
      <c r="A191" t="s">
        <v>425</v>
      </c>
      <c r="B191" t="s">
        <v>325</v>
      </c>
    </row>
    <row r="192" spans="1:5" x14ac:dyDescent="0.25">
      <c r="A192" t="s">
        <v>492</v>
      </c>
      <c r="B192" t="s">
        <v>50</v>
      </c>
    </row>
    <row r="193" spans="1:5" x14ac:dyDescent="0.25">
      <c r="A193" t="s">
        <v>426</v>
      </c>
      <c r="B193" t="s">
        <v>318</v>
      </c>
    </row>
    <row r="194" spans="1:5" x14ac:dyDescent="0.25">
      <c r="A194" t="s">
        <v>493</v>
      </c>
      <c r="B194" t="s">
        <v>50</v>
      </c>
    </row>
    <row r="195" spans="1:5" x14ac:dyDescent="0.25">
      <c r="A195" t="s">
        <v>427</v>
      </c>
      <c r="B195" t="s">
        <v>325</v>
      </c>
      <c r="E195" t="s">
        <v>361</v>
      </c>
    </row>
    <row r="196" spans="1:5" x14ac:dyDescent="0.25">
      <c r="A196" t="s">
        <v>494</v>
      </c>
      <c r="B196" t="s">
        <v>50</v>
      </c>
      <c r="E196" t="s">
        <v>50</v>
      </c>
    </row>
    <row r="197" spans="1:5" x14ac:dyDescent="0.25">
      <c r="A197" t="s">
        <v>428</v>
      </c>
      <c r="B197" t="s">
        <v>318</v>
      </c>
      <c r="E197" t="s">
        <v>362</v>
      </c>
    </row>
    <row r="198" spans="1:5" x14ac:dyDescent="0.25">
      <c r="A198" t="s">
        <v>495</v>
      </c>
      <c r="B198" t="s">
        <v>50</v>
      </c>
      <c r="E198" t="s">
        <v>50</v>
      </c>
    </row>
    <row r="199" spans="1:5" x14ac:dyDescent="0.25">
      <c r="A199" t="s">
        <v>429</v>
      </c>
      <c r="B199" t="s">
        <v>318</v>
      </c>
      <c r="E199" t="s">
        <v>359</v>
      </c>
    </row>
    <row r="200" spans="1:5" x14ac:dyDescent="0.25">
      <c r="A200" t="s">
        <v>496</v>
      </c>
      <c r="B200" t="s">
        <v>50</v>
      </c>
      <c r="E200" t="s">
        <v>50</v>
      </c>
    </row>
    <row r="201" spans="1:5" x14ac:dyDescent="0.25">
      <c r="A201" t="s">
        <v>430</v>
      </c>
      <c r="B201" t="s">
        <v>327</v>
      </c>
      <c r="E201" t="s">
        <v>351</v>
      </c>
    </row>
    <row r="202" spans="1:5" x14ac:dyDescent="0.25">
      <c r="A202" t="s">
        <v>497</v>
      </c>
      <c r="B202" t="s">
        <v>50</v>
      </c>
      <c r="E202" t="s">
        <v>50</v>
      </c>
    </row>
    <row r="203" spans="1:5" x14ac:dyDescent="0.25">
      <c r="A203" t="s">
        <v>431</v>
      </c>
      <c r="B203" t="s">
        <v>327</v>
      </c>
      <c r="E203" t="s">
        <v>360</v>
      </c>
    </row>
    <row r="204" spans="1:5" x14ac:dyDescent="0.25">
      <c r="A204" t="s">
        <v>498</v>
      </c>
      <c r="B204" t="s">
        <v>50</v>
      </c>
      <c r="E204" t="s">
        <v>50</v>
      </c>
    </row>
    <row r="205" spans="1:5" x14ac:dyDescent="0.25">
      <c r="A205" t="s">
        <v>432</v>
      </c>
      <c r="B205" t="s">
        <v>328</v>
      </c>
      <c r="E205" t="s">
        <v>361</v>
      </c>
    </row>
    <row r="206" spans="1:5" x14ac:dyDescent="0.25">
      <c r="A206" t="s">
        <v>499</v>
      </c>
      <c r="B206" t="s">
        <v>50</v>
      </c>
      <c r="E206" t="s">
        <v>50</v>
      </c>
    </row>
    <row r="207" spans="1:5" x14ac:dyDescent="0.25">
      <c r="A207" t="s">
        <v>433</v>
      </c>
      <c r="B207" t="s">
        <v>329</v>
      </c>
      <c r="E207" t="s">
        <v>353</v>
      </c>
    </row>
    <row r="208" spans="1:5" x14ac:dyDescent="0.25">
      <c r="A208" t="s">
        <v>500</v>
      </c>
      <c r="B208" t="s">
        <v>50</v>
      </c>
      <c r="E208" t="s">
        <v>50</v>
      </c>
    </row>
    <row r="209" spans="1:5" x14ac:dyDescent="0.25">
      <c r="A209" t="s">
        <v>434</v>
      </c>
    </row>
    <row r="210" spans="1:5" x14ac:dyDescent="0.25">
      <c r="A210" t="s">
        <v>501</v>
      </c>
    </row>
    <row r="211" spans="1:5" x14ac:dyDescent="0.25">
      <c r="A211" t="s">
        <v>435</v>
      </c>
      <c r="B211" t="s">
        <v>336</v>
      </c>
      <c r="E211" t="s">
        <v>357</v>
      </c>
    </row>
    <row r="212" spans="1:5" x14ac:dyDescent="0.25">
      <c r="A212" t="s">
        <v>502</v>
      </c>
      <c r="B212" t="s">
        <v>50</v>
      </c>
      <c r="E212" t="s">
        <v>50</v>
      </c>
    </row>
    <row r="213" spans="1:5" x14ac:dyDescent="0.25">
      <c r="A213" t="s">
        <v>436</v>
      </c>
      <c r="B213" t="s">
        <v>337</v>
      </c>
    </row>
    <row r="214" spans="1:5" x14ac:dyDescent="0.25">
      <c r="A214" t="s">
        <v>503</v>
      </c>
      <c r="B214" t="s">
        <v>50</v>
      </c>
    </row>
    <row r="215" spans="1:5" x14ac:dyDescent="0.25">
      <c r="A215" t="s">
        <v>437</v>
      </c>
      <c r="B215" t="s">
        <v>338</v>
      </c>
      <c r="E215" t="s">
        <v>355</v>
      </c>
    </row>
    <row r="216" spans="1:5" x14ac:dyDescent="0.25">
      <c r="A216" t="s">
        <v>504</v>
      </c>
      <c r="B216" t="s">
        <v>50</v>
      </c>
      <c r="E216" t="s">
        <v>50</v>
      </c>
    </row>
    <row r="217" spans="1:5" x14ac:dyDescent="0.25">
      <c r="A217" t="s">
        <v>438</v>
      </c>
      <c r="B217" t="s">
        <v>336</v>
      </c>
      <c r="E217" t="s">
        <v>356</v>
      </c>
    </row>
    <row r="218" spans="1:5" x14ac:dyDescent="0.25">
      <c r="A218" t="s">
        <v>505</v>
      </c>
      <c r="B218" t="s">
        <v>50</v>
      </c>
      <c r="E218" t="s">
        <v>50</v>
      </c>
    </row>
    <row r="219" spans="1:5" x14ac:dyDescent="0.25">
      <c r="A219" t="s">
        <v>439</v>
      </c>
      <c r="B219" t="s">
        <v>339</v>
      </c>
      <c r="E219" t="s">
        <v>353</v>
      </c>
    </row>
    <row r="220" spans="1:5" x14ac:dyDescent="0.25">
      <c r="A220" t="s">
        <v>506</v>
      </c>
      <c r="B220" t="s">
        <v>50</v>
      </c>
      <c r="E220" t="s">
        <v>50</v>
      </c>
    </row>
    <row r="221" spans="1:5" x14ac:dyDescent="0.25">
      <c r="A221" t="s">
        <v>440</v>
      </c>
      <c r="B221" t="s">
        <v>340</v>
      </c>
    </row>
    <row r="222" spans="1:5" x14ac:dyDescent="0.25">
      <c r="A222" t="s">
        <v>507</v>
      </c>
      <c r="B222" t="s">
        <v>50</v>
      </c>
    </row>
    <row r="223" spans="1:5" x14ac:dyDescent="0.25">
      <c r="A223" t="s">
        <v>441</v>
      </c>
      <c r="B223" t="s">
        <v>342</v>
      </c>
      <c r="E223" t="s">
        <v>351</v>
      </c>
    </row>
    <row r="224" spans="1:5" x14ac:dyDescent="0.25">
      <c r="A224" t="s">
        <v>508</v>
      </c>
      <c r="B224" t="s">
        <v>50</v>
      </c>
      <c r="E224" t="s">
        <v>50</v>
      </c>
    </row>
    <row r="225" spans="1:5" x14ac:dyDescent="0.25">
      <c r="A225" t="s">
        <v>442</v>
      </c>
      <c r="B225" t="s">
        <v>341</v>
      </c>
    </row>
    <row r="226" spans="1:5" x14ac:dyDescent="0.25">
      <c r="A226" t="s">
        <v>509</v>
      </c>
      <c r="B226" t="s">
        <v>50</v>
      </c>
    </row>
    <row r="227" spans="1:5" x14ac:dyDescent="0.25">
      <c r="A227" t="s">
        <v>443</v>
      </c>
      <c r="B227" t="s">
        <v>343</v>
      </c>
    </row>
    <row r="228" spans="1:5" x14ac:dyDescent="0.25">
      <c r="A228" t="s">
        <v>510</v>
      </c>
      <c r="B228" t="s">
        <v>50</v>
      </c>
    </row>
    <row r="229" spans="1:5" x14ac:dyDescent="0.25">
      <c r="A229" t="s">
        <v>444</v>
      </c>
      <c r="B229" t="s">
        <v>340</v>
      </c>
      <c r="E229" t="s">
        <v>353</v>
      </c>
    </row>
    <row r="230" spans="1:5" x14ac:dyDescent="0.25">
      <c r="A230" t="s">
        <v>511</v>
      </c>
      <c r="B230" t="s">
        <v>50</v>
      </c>
      <c r="E230" t="s">
        <v>50</v>
      </c>
    </row>
    <row r="231" spans="1:5" x14ac:dyDescent="0.25">
      <c r="A231" t="s">
        <v>445</v>
      </c>
    </row>
    <row r="232" spans="1:5" x14ac:dyDescent="0.25">
      <c r="A232" t="s">
        <v>512</v>
      </c>
    </row>
    <row r="233" spans="1:5" x14ac:dyDescent="0.25">
      <c r="A233" t="s">
        <v>446</v>
      </c>
      <c r="E233" t="s">
        <v>358</v>
      </c>
    </row>
    <row r="234" spans="1:5" x14ac:dyDescent="0.25">
      <c r="A234" t="s">
        <v>513</v>
      </c>
      <c r="E234" t="s">
        <v>50</v>
      </c>
    </row>
    <row r="235" spans="1:5" x14ac:dyDescent="0.25">
      <c r="A235" t="s">
        <v>447</v>
      </c>
      <c r="B235" t="s">
        <v>344</v>
      </c>
    </row>
    <row r="236" spans="1:5" x14ac:dyDescent="0.25">
      <c r="A236" t="s">
        <v>514</v>
      </c>
      <c r="B236" t="s">
        <v>50</v>
      </c>
    </row>
    <row r="237" spans="1:5" x14ac:dyDescent="0.25">
      <c r="A237" t="s">
        <v>448</v>
      </c>
      <c r="B237" t="s">
        <v>340</v>
      </c>
    </row>
    <row r="238" spans="1:5" x14ac:dyDescent="0.25">
      <c r="A238" t="s">
        <v>515</v>
      </c>
      <c r="B238" t="s">
        <v>50</v>
      </c>
    </row>
    <row r="239" spans="1:5" x14ac:dyDescent="0.25">
      <c r="A239" t="s">
        <v>449</v>
      </c>
      <c r="B239" t="s">
        <v>336</v>
      </c>
    </row>
    <row r="240" spans="1:5" x14ac:dyDescent="0.25">
      <c r="A240" t="s">
        <v>516</v>
      </c>
      <c r="B240" t="s">
        <v>50</v>
      </c>
    </row>
    <row r="241" spans="1:2" x14ac:dyDescent="0.25">
      <c r="A241" t="s">
        <v>382</v>
      </c>
      <c r="B241" t="s">
        <v>342</v>
      </c>
    </row>
    <row r="242" spans="1:2" x14ac:dyDescent="0.25">
      <c r="A242" t="s">
        <v>517</v>
      </c>
      <c r="B242" t="s">
        <v>50</v>
      </c>
    </row>
    <row r="243" spans="1:2" x14ac:dyDescent="0.25">
      <c r="A243" t="s">
        <v>381</v>
      </c>
      <c r="B243" t="s">
        <v>336</v>
      </c>
    </row>
    <row r="244" spans="1:2" x14ac:dyDescent="0.25">
      <c r="A244" t="s">
        <v>518</v>
      </c>
      <c r="B244" t="s">
        <v>50</v>
      </c>
    </row>
    <row r="245" spans="1:2" x14ac:dyDescent="0.25">
      <c r="A245" t="s">
        <v>380</v>
      </c>
      <c r="B245" t="s">
        <v>344</v>
      </c>
    </row>
    <row r="246" spans="1:2" x14ac:dyDescent="0.25">
      <c r="A246" t="s">
        <v>519</v>
      </c>
      <c r="B246" t="s">
        <v>50</v>
      </c>
    </row>
    <row r="247" spans="1:2" x14ac:dyDescent="0.25">
      <c r="A247" t="s">
        <v>379</v>
      </c>
      <c r="B247" t="s">
        <v>345</v>
      </c>
    </row>
    <row r="248" spans="1:2" x14ac:dyDescent="0.25">
      <c r="A248" t="s">
        <v>520</v>
      </c>
      <c r="B248" t="s">
        <v>50</v>
      </c>
    </row>
    <row r="249" spans="1:2" x14ac:dyDescent="0.25">
      <c r="A249" t="s">
        <v>378</v>
      </c>
      <c r="B249" t="s">
        <v>346</v>
      </c>
    </row>
    <row r="250" spans="1:2" x14ac:dyDescent="0.25">
      <c r="A250" t="s">
        <v>521</v>
      </c>
      <c r="B250" t="s">
        <v>50</v>
      </c>
    </row>
    <row r="251" spans="1:2" x14ac:dyDescent="0.25">
      <c r="A251" t="s">
        <v>377</v>
      </c>
      <c r="B251" t="s">
        <v>342</v>
      </c>
    </row>
    <row r="252" spans="1:2" x14ac:dyDescent="0.25">
      <c r="A252" t="s">
        <v>522</v>
      </c>
      <c r="B252" t="s">
        <v>50</v>
      </c>
    </row>
    <row r="253" spans="1:2" x14ac:dyDescent="0.25">
      <c r="A253" t="s">
        <v>376</v>
      </c>
      <c r="B253" t="s">
        <v>347</v>
      </c>
    </row>
    <row r="254" spans="1:2" x14ac:dyDescent="0.25">
      <c r="A254" t="s">
        <v>523</v>
      </c>
      <c r="B254" t="s">
        <v>50</v>
      </c>
    </row>
    <row r="255" spans="1:2" x14ac:dyDescent="0.25">
      <c r="A255" t="s">
        <v>375</v>
      </c>
      <c r="B255" t="s">
        <v>348</v>
      </c>
    </row>
    <row r="256" spans="1:2" x14ac:dyDescent="0.25">
      <c r="A256" t="s">
        <v>524</v>
      </c>
      <c r="B256" t="s">
        <v>50</v>
      </c>
    </row>
    <row r="257" spans="1:2" x14ac:dyDescent="0.25">
      <c r="A257" t="s">
        <v>373</v>
      </c>
      <c r="B257" t="s">
        <v>349</v>
      </c>
    </row>
    <row r="258" spans="1:2" x14ac:dyDescent="0.25">
      <c r="A258" t="s">
        <v>374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</dc:creator>
  <cp:lastModifiedBy>pr</cp:lastModifiedBy>
  <dcterms:created xsi:type="dcterms:W3CDTF">2021-01-22T22:30:29Z</dcterms:created>
  <dcterms:modified xsi:type="dcterms:W3CDTF">2021-02-28T20:44:19Z</dcterms:modified>
</cp:coreProperties>
</file>