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duction" sheetId="1" r:id="rId4"/>
    <sheet state="visible" name="Ship Data Imperial" sheetId="2" r:id="rId5"/>
    <sheet state="visible" name="Ship Data Metric" sheetId="3" r:id="rId6"/>
    <sheet state="visible" name="Masts" sheetId="4" r:id="rId7"/>
    <sheet state="visible" name="Yards" sheetId="5" r:id="rId8"/>
    <sheet state="visible" name="Standing" sheetId="6" r:id="rId9"/>
    <sheet state="visible" name="Running" sheetId="7" r:id="rId10"/>
  </sheets>
  <definedNames/>
  <calcPr/>
  <extLst>
    <ext uri="GoogleSheetsCustomDataVersion2">
      <go:sheetsCustomData xmlns:go="http://customooxmlschemas.google.com/" r:id="rId11" roundtripDataChecksum="tuBkwSHJm4uXWcURd1v44O6i1Bu2DIfRvU8DuAzldw4="/>
    </ext>
  </extLst>
</workbook>
</file>

<file path=xl/sharedStrings.xml><?xml version="1.0" encoding="utf-8"?>
<sst xmlns="http://schemas.openxmlformats.org/spreadsheetml/2006/main" count="2393" uniqueCount="849">
  <si>
    <t>MASTING AND RIGGING SIZES FOR PERIOD SHIP MODELS</t>
  </si>
  <si>
    <t xml:space="preserve">This spreadsheet  is designed to enable period ship modellers to find the relevant sizes of masting and rigging </t>
  </si>
  <si>
    <t>for their models of English ships by simply entering a few relevant details about the ship being modelled.</t>
  </si>
  <si>
    <t xml:space="preserve">While the "Ship Data" sheet tables are necessarily long to take into account the many variations in rigging </t>
  </si>
  <si>
    <t xml:space="preserve">proportions over time, the actual data required for any particular ship is minimal.  In most cases it will only be </t>
  </si>
  <si>
    <t xml:space="preserve">necessary to enter the beam of the ship, but for some periods of construction it will also be necessary to enter </t>
  </si>
  <si>
    <t xml:space="preserve">the length of the lower gun deck, or the keel length and depth of the ship.  </t>
  </si>
  <si>
    <t xml:space="preserve">Once these dimensions have been entered ,the spreadsheet will automatically calculate the sizes of masts, </t>
  </si>
  <si>
    <t xml:space="preserve">spars and rigging for your model based on the proportions of masting and rigging for the period when your </t>
  </si>
  <si>
    <t xml:space="preserve">ship was built.  The proportions used for this spreadsheet are mainly those compiled by James Lees in his book </t>
  </si>
  <si>
    <t xml:space="preserve"> "The Masting And Rigging Of English Ships Of War 1625 - 1860", with additions from contemporary sources.</t>
  </si>
  <si>
    <t xml:space="preserve">To start, enter the scale of your model in the yellow box below and then click on the blue "Ship Data Imperial" </t>
  </si>
  <si>
    <t xml:space="preserve">or green "Ship Data Metric" tabs to enter the required dimentions of your ship.  The sizes for the spars and </t>
  </si>
  <si>
    <t>rigging can then be found by clicking on the relevant tabs for masts, yards, standing or running rigging.</t>
  </si>
  <si>
    <t>Scale of Model - 1:</t>
  </si>
  <si>
    <r>
      <rPr>
        <rFont val="Arial"/>
        <b/>
        <color rgb="FF000000"/>
        <sz val="11.0"/>
        <u/>
      </rPr>
      <t>NOTE</t>
    </r>
    <r>
      <rPr>
        <rFont val="Arial"/>
        <b/>
        <color rgb="FF000000"/>
        <sz val="11.0"/>
      </rPr>
      <t>:    Enter all dimentions in feet and decimals NOT feet and inches - i.e. 12.5, NOT 12' 6"</t>
    </r>
  </si>
  <si>
    <t>Date Built</t>
  </si>
  <si>
    <t>Rate</t>
  </si>
  <si>
    <t>Beam</t>
  </si>
  <si>
    <t>Length of Keel</t>
  </si>
  <si>
    <t>Depth of Ship</t>
  </si>
  <si>
    <t>Length of Lower Gun Deck</t>
  </si>
  <si>
    <t>Length of Lower Deck</t>
  </si>
  <si>
    <t>1627 - 1639</t>
  </si>
  <si>
    <t>1st</t>
  </si>
  <si>
    <t>2nd</t>
  </si>
  <si>
    <t>3rd</t>
  </si>
  <si>
    <t>4th</t>
  </si>
  <si>
    <t>5th</t>
  </si>
  <si>
    <t>6th</t>
  </si>
  <si>
    <t>1640 - 1660</t>
  </si>
  <si>
    <t>1661 - 1669</t>
  </si>
  <si>
    <t>1670 - 1678</t>
  </si>
  <si>
    <t>1679 - 1680</t>
  </si>
  <si>
    <t>1681 - 1684</t>
  </si>
  <si>
    <t>1685 - 1699</t>
  </si>
  <si>
    <t>1700 - 1705</t>
  </si>
  <si>
    <t>1706 - 1710</t>
  </si>
  <si>
    <t>1711 - 1718</t>
  </si>
  <si>
    <t>1719 - 1728</t>
  </si>
  <si>
    <t>3rd of 80 Guns</t>
  </si>
  <si>
    <t>3rd of 70 Guns</t>
  </si>
  <si>
    <t>4th of 60 Guns</t>
  </si>
  <si>
    <t>4th of 50 Guns</t>
  </si>
  <si>
    <t>5th of 40 Guns</t>
  </si>
  <si>
    <t>5th - 30 Guns</t>
  </si>
  <si>
    <t>6th of 20 Guns</t>
  </si>
  <si>
    <t>1729 - 1744</t>
  </si>
  <si>
    <t>1745 - 1772</t>
  </si>
  <si>
    <t>1774 - 1793</t>
  </si>
  <si>
    <t>1794 - 1809</t>
  </si>
  <si>
    <t>Sloops</t>
  </si>
  <si>
    <t>1810 - 1814</t>
  </si>
  <si>
    <t>1815 - 1836</t>
  </si>
  <si>
    <t>Sloops Only</t>
  </si>
  <si>
    <t>1836 only</t>
  </si>
  <si>
    <t xml:space="preserve">Sloops </t>
  </si>
  <si>
    <t>1837 - 1849</t>
  </si>
  <si>
    <t>1850 - 1860</t>
  </si>
  <si>
    <t>NOTE:   Enter all dimentions in centimeters only</t>
  </si>
  <si>
    <t>1837 - 1839</t>
  </si>
  <si>
    <r>
      <rPr>
        <rFont val="Arial"/>
        <color rgb="FFFF0000"/>
        <sz val="12.0"/>
        <u/>
      </rPr>
      <t>Note</t>
    </r>
    <r>
      <rPr>
        <rFont val="Arial"/>
        <color rgb="FFFF0000"/>
        <sz val="12.0"/>
        <u/>
      </rPr>
      <t xml:space="preserve">:  For the sake of completeness, this table may show items that were not present on your ship or are not appropriate for the period   </t>
    </r>
  </si>
  <si>
    <t>Keel</t>
  </si>
  <si>
    <t>Depth</t>
  </si>
  <si>
    <t>Length</t>
  </si>
  <si>
    <t>Mainmast</t>
  </si>
  <si>
    <t>MainTG</t>
  </si>
  <si>
    <t>Foremast</t>
  </si>
  <si>
    <t>ForeTG</t>
  </si>
  <si>
    <t>Mizzen</t>
  </si>
  <si>
    <t>Mizz Top</t>
  </si>
  <si>
    <t>Mizz TG</t>
  </si>
  <si>
    <t>Bowsprit</t>
  </si>
  <si>
    <t>Jib boom</t>
  </si>
  <si>
    <t>Sprit TM</t>
  </si>
  <si>
    <t>Main Head</t>
  </si>
  <si>
    <t>Fore Head</t>
  </si>
  <si>
    <t>Miz Head</t>
  </si>
  <si>
    <t>MT Houn</t>
  </si>
  <si>
    <t>FT Houn</t>
  </si>
  <si>
    <t>Mizz Houn</t>
  </si>
  <si>
    <t>when your ship was built.  Please ensure that all items of rigging on your model are verified from a reliable source.</t>
  </si>
  <si>
    <t>Spar</t>
  </si>
  <si>
    <t>Original Size (Imperial)</t>
  </si>
  <si>
    <t>Original Size (Metric)</t>
  </si>
  <si>
    <r>
      <rPr>
        <rFont val="Calibri"/>
        <b/>
        <color theme="1"/>
        <sz val="11.0"/>
      </rPr>
      <t xml:space="preserve">Model Size </t>
    </r>
    <r>
      <rPr>
        <rFont val="Calibri"/>
        <b/>
        <color theme="1"/>
        <sz val="11.0"/>
      </rPr>
      <t>(In Inches)</t>
    </r>
  </si>
  <si>
    <t>Model Size (In Millimeters)</t>
  </si>
  <si>
    <t>Length (Ft)</t>
  </si>
  <si>
    <t>Dia. (In)</t>
  </si>
  <si>
    <t>Length (Cm)</t>
  </si>
  <si>
    <t>Dia. (Mm)</t>
  </si>
  <si>
    <t>Diameter</t>
  </si>
  <si>
    <t>Head</t>
  </si>
  <si>
    <t>Hounds</t>
  </si>
  <si>
    <t>N/A</t>
  </si>
  <si>
    <t>Jib Boom</t>
  </si>
  <si>
    <t>Flying Jib Boom</t>
  </si>
  <si>
    <t>Sprit Topmast</t>
  </si>
  <si>
    <t>Fore Topmast</t>
  </si>
  <si>
    <t>Fore Topgallant Mast</t>
  </si>
  <si>
    <t>Fore Royal Mast</t>
  </si>
  <si>
    <t>Main Topmast</t>
  </si>
  <si>
    <t>Main Topgallant Mast</t>
  </si>
  <si>
    <t>Main Royal Mast</t>
  </si>
  <si>
    <t>Mizzenmast</t>
  </si>
  <si>
    <t>Mizzen Topmast</t>
  </si>
  <si>
    <t>Mizzen Topgallant Mast</t>
  </si>
  <si>
    <t>Mizzen Royal Mast</t>
  </si>
  <si>
    <t>1670 - 1680</t>
  </si>
  <si>
    <t>Ensign Staff (Above Tafrail)</t>
  </si>
  <si>
    <t>Jack Staff</t>
  </si>
  <si>
    <t xml:space="preserve">NOTE: </t>
  </si>
  <si>
    <t>All toppgallant mastheads and the</t>
  </si>
  <si>
    <t xml:space="preserve">mizzen topmast head were round </t>
  </si>
  <si>
    <t>in some circumstances.</t>
  </si>
  <si>
    <t>1836 Only</t>
  </si>
  <si>
    <t>1837 -1849</t>
  </si>
  <si>
    <t>Totals</t>
  </si>
  <si>
    <t>Main D</t>
  </si>
  <si>
    <t>Main Tp D</t>
  </si>
  <si>
    <t>Main TG D</t>
  </si>
  <si>
    <t>Fore D</t>
  </si>
  <si>
    <t>Fore Tp D</t>
  </si>
  <si>
    <t>Fore TG D</t>
  </si>
  <si>
    <t>Mizz D</t>
  </si>
  <si>
    <t>MizzTp D</t>
  </si>
  <si>
    <t>Bowsp D</t>
  </si>
  <si>
    <r>
      <rPr>
        <rFont val="Arial"/>
        <color rgb="FFFF0000"/>
        <sz val="12.0"/>
        <u/>
      </rPr>
      <t>Note</t>
    </r>
    <r>
      <rPr>
        <rFont val="Arial"/>
        <color rgb="FFFF0000"/>
        <sz val="12.0"/>
        <u/>
      </rPr>
      <t xml:space="preserve">:  For the sake of completeness, this table may show items that were not present on your ship or are not appropriate for the period   </t>
    </r>
  </si>
  <si>
    <t>Main Yard</t>
  </si>
  <si>
    <t>Fore Yard</t>
  </si>
  <si>
    <t>Crossjack</t>
  </si>
  <si>
    <t>Main top</t>
  </si>
  <si>
    <t>Fore Top</t>
  </si>
  <si>
    <t>Mizz</t>
  </si>
  <si>
    <t>Main TG</t>
  </si>
  <si>
    <t>Fore TG</t>
  </si>
  <si>
    <t>Spritsail</t>
  </si>
  <si>
    <t>Sprit Top</t>
  </si>
  <si>
    <t>Main Dia</t>
  </si>
  <si>
    <t>Fore Dia</t>
  </si>
  <si>
    <t>MTG Dia</t>
  </si>
  <si>
    <t>FTG Dia</t>
  </si>
  <si>
    <t>CrJa Dia</t>
  </si>
  <si>
    <t>SpT Dia</t>
  </si>
  <si>
    <t>Mizz Dia</t>
  </si>
  <si>
    <r>
      <rPr>
        <rFont val="Calibri"/>
        <color theme="1"/>
        <sz val="11.0"/>
      </rPr>
      <t xml:space="preserve">Model Size </t>
    </r>
    <r>
      <rPr>
        <rFont val="Calibri"/>
        <b/>
        <color rgb="FF000000"/>
        <sz val="11.0"/>
      </rPr>
      <t>(In Inches)</t>
    </r>
  </si>
  <si>
    <r>
      <rPr>
        <rFont val="Calibri"/>
        <color theme="1"/>
        <sz val="11.0"/>
      </rPr>
      <t xml:space="preserve">Model Size </t>
    </r>
    <r>
      <rPr>
        <rFont val="Calibri"/>
        <b/>
        <color rgb="FF000000"/>
        <sz val="11.0"/>
      </rPr>
      <t>(In Millimeters)</t>
    </r>
  </si>
  <si>
    <t>Taper Dia.</t>
  </si>
  <si>
    <t>Spritsail Yard</t>
  </si>
  <si>
    <t>Sprit Topsail Yard</t>
  </si>
  <si>
    <t>Fore Topsail Yard</t>
  </si>
  <si>
    <t>Fore Topgallant Yard</t>
  </si>
  <si>
    <t>Fore Royal Yard</t>
  </si>
  <si>
    <t>Fore Trysail Gaff</t>
  </si>
  <si>
    <t>Main Topsail Yard</t>
  </si>
  <si>
    <t>Main Topgallant Yard</t>
  </si>
  <si>
    <t>Main Royal Yard</t>
  </si>
  <si>
    <t>Main Trysail Gaff</t>
  </si>
  <si>
    <t>Crossjack Yard</t>
  </si>
  <si>
    <t>Mizzen Yard             (Upper Taper)</t>
  </si>
  <si>
    <t xml:space="preserve">                                      (Lower Taper)</t>
  </si>
  <si>
    <t>Mizzen Topsail Yard</t>
  </si>
  <si>
    <t>Mizzen Topgallant Yard</t>
  </si>
  <si>
    <t>Mizzen Royal Yard</t>
  </si>
  <si>
    <t>Driver Yard</t>
  </si>
  <si>
    <t>Driver Boom            (Outer Taper)</t>
  </si>
  <si>
    <t xml:space="preserve">                                      (Inner Taper)</t>
  </si>
  <si>
    <t>Gaff</t>
  </si>
  <si>
    <t>Lower Stunsail Booms</t>
  </si>
  <si>
    <t>Lower Stunsail Yards</t>
  </si>
  <si>
    <t>Fore Topmast Stunsail Booms</t>
  </si>
  <si>
    <t xml:space="preserve">                      "                      Yards</t>
  </si>
  <si>
    <t>Main Topmast Stunsail Booms</t>
  </si>
  <si>
    <t xml:space="preserve">                      "                       Yards</t>
  </si>
  <si>
    <t>Fore Topgallant Stunsail Booms</t>
  </si>
  <si>
    <t xml:space="preserve">                      "                          Yards</t>
  </si>
  <si>
    <t>Main Topgallant Stunsail Booms</t>
  </si>
  <si>
    <t xml:space="preserve">                      "                           Yards</t>
  </si>
  <si>
    <t>Main Tap</t>
  </si>
  <si>
    <t>Fore Tap</t>
  </si>
  <si>
    <t>CrJa Tap</t>
  </si>
  <si>
    <t>Mt Tap</t>
  </si>
  <si>
    <t>Ft Tap</t>
  </si>
  <si>
    <t>Mtg Tap</t>
  </si>
  <si>
    <t>Ftg Tap</t>
  </si>
  <si>
    <t>M Tap U</t>
  </si>
  <si>
    <t>M Tap L</t>
  </si>
  <si>
    <t>Dr Yd Tap</t>
  </si>
  <si>
    <t>Sprit Tap</t>
  </si>
  <si>
    <t>SpTp Tap</t>
  </si>
  <si>
    <t>LSY Tap</t>
  </si>
  <si>
    <t>FSY Tap</t>
  </si>
  <si>
    <t>MSY Tap</t>
  </si>
  <si>
    <t>FTGSY Tap</t>
  </si>
  <si>
    <t>MTGSY Tap</t>
  </si>
  <si>
    <t>1700 - 1710</t>
  </si>
  <si>
    <r>
      <rPr>
        <rFont val="Arial"/>
        <color rgb="FFFF0000"/>
        <sz val="12.0"/>
        <u/>
      </rPr>
      <t>Note</t>
    </r>
    <r>
      <rPr>
        <rFont val="Arial"/>
        <color rgb="FFFF0000"/>
        <sz val="12.0"/>
        <u/>
      </rPr>
      <t xml:space="preserve">:  For the sake of completeness, this table may show items that were not present on your ship or are not appropriate for the period   </t>
    </r>
  </si>
  <si>
    <t>Main SC</t>
  </si>
  <si>
    <t>Fore SC</t>
  </si>
  <si>
    <t>Main PS</t>
  </si>
  <si>
    <t>Main PSC</t>
  </si>
  <si>
    <t>Fore PS</t>
  </si>
  <si>
    <t>Fore PSC</t>
  </si>
  <si>
    <t>Bob</t>
  </si>
  <si>
    <t>Burton</t>
  </si>
  <si>
    <t>Fore Hatch</t>
  </si>
  <si>
    <t>Line</t>
  </si>
  <si>
    <r>
      <rPr>
        <rFont val="Calibri"/>
        <color theme="1"/>
        <sz val="11.0"/>
      </rPr>
      <t xml:space="preserve">Model Size </t>
    </r>
    <r>
      <rPr>
        <rFont val="Calibri"/>
        <b/>
        <color rgb="FF000000"/>
        <sz val="11.0"/>
      </rPr>
      <t>(In Inches)</t>
    </r>
  </si>
  <si>
    <r>
      <rPr>
        <rFont val="Calibri"/>
        <color theme="1"/>
        <sz val="11.0"/>
      </rPr>
      <t xml:space="preserve">Model Size </t>
    </r>
    <r>
      <rPr>
        <rFont val="Calibri"/>
        <b/>
        <color rgb="FF000000"/>
        <sz val="11.0"/>
      </rPr>
      <t>(In Mm)</t>
    </r>
  </si>
  <si>
    <t>Circ.</t>
  </si>
  <si>
    <t>Dia.</t>
  </si>
  <si>
    <t>Bobstay</t>
  </si>
  <si>
    <t xml:space="preserve">        "        Collar</t>
  </si>
  <si>
    <t>Gammoning</t>
  </si>
  <si>
    <t>Bowsptrit Shrouds</t>
  </si>
  <si>
    <t xml:space="preserve">                "                      Collar</t>
  </si>
  <si>
    <t xml:space="preserve">                "                      Lanyards</t>
  </si>
  <si>
    <t>Bowsprit Horse</t>
  </si>
  <si>
    <t>Jib Boom Guy Pennants</t>
  </si>
  <si>
    <t xml:space="preserve">                         "                       Falls</t>
  </si>
  <si>
    <t>Jib Boom Horse</t>
  </si>
  <si>
    <t>Martingale Stay</t>
  </si>
  <si>
    <t>Martingale Backstay</t>
  </si>
  <si>
    <t>Heel Lashing</t>
  </si>
  <si>
    <t>Flying Jib Boom Guys</t>
  </si>
  <si>
    <t>Flying Martingale Stay</t>
  </si>
  <si>
    <t>Flying Jib Boom Horse</t>
  </si>
  <si>
    <t>Sprit Topmast Shrouds</t>
  </si>
  <si>
    <t xml:space="preserve">                "           FuttockShrouds</t>
  </si>
  <si>
    <t xml:space="preserve">                "           Backstay Pennants or Crane Lines</t>
  </si>
  <si>
    <t xml:space="preserve">                "           Crowsfeet</t>
  </si>
  <si>
    <t xml:space="preserve">                "           Halliards</t>
  </si>
  <si>
    <t>Fore Stay</t>
  </si>
  <si>
    <t xml:space="preserve">    "    Collar</t>
  </si>
  <si>
    <t>Fore Preveter Stay</t>
  </si>
  <si>
    <t xml:space="preserve">                   "                  Collar</t>
  </si>
  <si>
    <t>Fore Burton Pendants</t>
  </si>
  <si>
    <t xml:space="preserve">             "           Falls</t>
  </si>
  <si>
    <t>Fore Topmast Stay</t>
  </si>
  <si>
    <t>Fore Topmast Preventer Stay</t>
  </si>
  <si>
    <t xml:space="preserve">                                "                           Collar</t>
  </si>
  <si>
    <t>Fore Topgallant Stay</t>
  </si>
  <si>
    <t>Fore Royal Stay</t>
  </si>
  <si>
    <t>Fore Stay Lanyard &amp; Tackle</t>
  </si>
  <si>
    <t>Fore Preventer Stay Lanyard &amp; Tackle</t>
  </si>
  <si>
    <t>Fore Topmast Stay Lanyard &amp; Tackle</t>
  </si>
  <si>
    <t>Fore Topmast Preventer Stay Lanyard &amp; Tackle</t>
  </si>
  <si>
    <t>Fore Topgallant Stay Lanyard &amp; Tackle</t>
  </si>
  <si>
    <t>Fore Royal Stay Lanyard &amp; Tackle</t>
  </si>
  <si>
    <t>Fore Shroud</t>
  </si>
  <si>
    <t xml:space="preserve">             "           Lanyards</t>
  </si>
  <si>
    <t>Fore Futtock Shrouds</t>
  </si>
  <si>
    <t>Fore Ratlines</t>
  </si>
  <si>
    <t>Fore Lower Catharpins</t>
  </si>
  <si>
    <t>Fore Topmast Shrouds</t>
  </si>
  <si>
    <t xml:space="preserve">                        "                     Lanyards</t>
  </si>
  <si>
    <t>Fore Topmast Futtock Shrouds</t>
  </si>
  <si>
    <t>Fore Upper Catharpins</t>
  </si>
  <si>
    <t>Fore Topmat Ratlines</t>
  </si>
  <si>
    <t>Fore Topgallant Shrouds</t>
  </si>
  <si>
    <t xml:space="preserve">                           "                     Lanyards</t>
  </si>
  <si>
    <t>Fore Topgallant Futtock Shrouds</t>
  </si>
  <si>
    <t>Fore Topgallant Ratlines</t>
  </si>
  <si>
    <t>Fore Standing Backstays</t>
  </si>
  <si>
    <t xml:space="preserve">                         "                       Lanyards</t>
  </si>
  <si>
    <t>Fore Breast Backstays</t>
  </si>
  <si>
    <t xml:space="preserve">                      "                     Lanyards</t>
  </si>
  <si>
    <t>Fore Running Breast Backstays</t>
  </si>
  <si>
    <t xml:space="preserve">                               "                              Falls</t>
  </si>
  <si>
    <t>Fore Shifting Backstays</t>
  </si>
  <si>
    <t xml:space="preserve">                         "                     Fall</t>
  </si>
  <si>
    <t>Fore Topgallant Backstays</t>
  </si>
  <si>
    <t xml:space="preserve">                             "                       Lanyards</t>
  </si>
  <si>
    <t>Fore Royal Backstays</t>
  </si>
  <si>
    <t xml:space="preserve">                    "                     Lanyards</t>
  </si>
  <si>
    <t>Fore Top Rope Pennant</t>
  </si>
  <si>
    <t xml:space="preserve">               "              Fall</t>
  </si>
  <si>
    <t>Fore Woldings</t>
  </si>
  <si>
    <t>Fore Eurphroe Falls and Crowsfeet</t>
  </si>
  <si>
    <t>Fore Stay Snaking</t>
  </si>
  <si>
    <t>Main Stay</t>
  </si>
  <si>
    <t xml:space="preserve">     "    Collar</t>
  </si>
  <si>
    <t>Main Preventer Stay</t>
  </si>
  <si>
    <t xml:space="preserve">                  "                       Collar</t>
  </si>
  <si>
    <t>Main Burton Pendants</t>
  </si>
  <si>
    <t xml:space="preserve">            "            Falls</t>
  </si>
  <si>
    <t>Main Topmast Stay</t>
  </si>
  <si>
    <t xml:space="preserve">                  "                    Collar</t>
  </si>
  <si>
    <t>Main Topmast Preventer Stay</t>
  </si>
  <si>
    <t xml:space="preserve">                            "                               Collar</t>
  </si>
  <si>
    <t>Main Topgallant Stay</t>
  </si>
  <si>
    <t>Main Royal Stay</t>
  </si>
  <si>
    <t>Main Stay Lanyard &amp; Tackle</t>
  </si>
  <si>
    <t>Main Preventer Stay Lanyard &amp; Tackle</t>
  </si>
  <si>
    <t>Main Topmast Stay Lanyard &amp; Tackle</t>
  </si>
  <si>
    <t>Main Topmast Preventer Stay Lanyard &amp; Tackle</t>
  </si>
  <si>
    <t>Main Topgallant Stay Lanyard &amp; Tackle</t>
  </si>
  <si>
    <t>Main Royal Stay Lanyard &amp; Tackle</t>
  </si>
  <si>
    <t>Main Shroud</t>
  </si>
  <si>
    <t xml:space="preserve">             "            Lanyards</t>
  </si>
  <si>
    <t>Main Futtock Shrouds</t>
  </si>
  <si>
    <t>Main Ratlines</t>
  </si>
  <si>
    <t>Main Lower Catharpins</t>
  </si>
  <si>
    <t>Main Topmast Shrouds</t>
  </si>
  <si>
    <t xml:space="preserve">                     "                         Lanyards</t>
  </si>
  <si>
    <t>Main Topmast Futtock Shrouds</t>
  </si>
  <si>
    <t>Main Topmast Ratlines</t>
  </si>
  <si>
    <t>Main Upper Catharpins</t>
  </si>
  <si>
    <t>Main Topgallant Shrouds</t>
  </si>
  <si>
    <t xml:space="preserve">                          "                        Lanyards</t>
  </si>
  <si>
    <t>Main Topgallant Futtock Shrouds</t>
  </si>
  <si>
    <t>Main Topgallant Ratlines</t>
  </si>
  <si>
    <t>Main Standing Backstays</t>
  </si>
  <si>
    <t xml:space="preserve">                           "                      Lanyards</t>
  </si>
  <si>
    <t>Main Breast Backstays</t>
  </si>
  <si>
    <t xml:space="preserve">                       "                     Lanyards</t>
  </si>
  <si>
    <t>Main Running Breast Backstays</t>
  </si>
  <si>
    <t xml:space="preserve">                          "                                    Falls</t>
  </si>
  <si>
    <t>Main Shifting Backstays</t>
  </si>
  <si>
    <t xml:space="preserve">                         "                      Fall</t>
  </si>
  <si>
    <t>Main Topgallant Backstays</t>
  </si>
  <si>
    <t xml:space="preserve">                          "                           Lanyards</t>
  </si>
  <si>
    <t>Main Royal Backstays</t>
  </si>
  <si>
    <t xml:space="preserve">                    "                       Lanyards</t>
  </si>
  <si>
    <t>Main Top Rope Pennant</t>
  </si>
  <si>
    <t xml:space="preserve">                 "             Fall</t>
  </si>
  <si>
    <t>Main Woldings</t>
  </si>
  <si>
    <t>Main Eurphroe Falls and Crowsfeet</t>
  </si>
  <si>
    <t>Main Stay Snaking</t>
  </si>
  <si>
    <t>Mizzen Lower Burton Pendants</t>
  </si>
  <si>
    <t xml:space="preserve">                          "                 Falls</t>
  </si>
  <si>
    <t>Mizzen Stay</t>
  </si>
  <si>
    <t xml:space="preserve">            "           Collar</t>
  </si>
  <si>
    <t>Mizzen Preventer Stay</t>
  </si>
  <si>
    <t xml:space="preserve">                        "                     Collar</t>
  </si>
  <si>
    <t>Mizzen Upper Burton Pendants</t>
  </si>
  <si>
    <t>Mizzen Topmast Stay</t>
  </si>
  <si>
    <t xml:space="preserve">                     "                     Collar</t>
  </si>
  <si>
    <t>Mizzen Topmast Preventer Stay</t>
  </si>
  <si>
    <t xml:space="preserve">                               "                                 Collar</t>
  </si>
  <si>
    <t>Mizzen Topgallant Stay</t>
  </si>
  <si>
    <t>Mizzen Royal Stay</t>
  </si>
  <si>
    <t>Mizzen Stay Lanyard &amp; Tackle</t>
  </si>
  <si>
    <t>Mizzen Preventer Stay Lanyard &amp; Tackle</t>
  </si>
  <si>
    <t>Mizzen Topmast Stay Lanyard &amp; Tackle</t>
  </si>
  <si>
    <t>Mizzen Topmast Preventer Stay Lanyard &amp; Tackle</t>
  </si>
  <si>
    <t>Mizzen Topgallant Stay Lanyard &amp; Tackle</t>
  </si>
  <si>
    <t>Mizzen Royal Stay Lanyard &amp; Tackle</t>
  </si>
  <si>
    <t>Mizzen Shroud</t>
  </si>
  <si>
    <t xml:space="preserve">              "                Lanyards</t>
  </si>
  <si>
    <t>Mizzen Futtock Shrouds</t>
  </si>
  <si>
    <t>Mizzen Ratlines</t>
  </si>
  <si>
    <t>Mizzen Lower Catharpins</t>
  </si>
  <si>
    <t>Mizzen Topmast Shrouds</t>
  </si>
  <si>
    <t xml:space="preserve">                         "                         Lanyards</t>
  </si>
  <si>
    <t>Mizzen Topmast Futtock Shrouds</t>
  </si>
  <si>
    <t>Mizzen Topmast Ratlines</t>
  </si>
  <si>
    <t>Mizzen Upper Catharpins</t>
  </si>
  <si>
    <t>Mizzen Topgallant Shrouds</t>
  </si>
  <si>
    <t xml:space="preserve">                             "                         Lanyards</t>
  </si>
  <si>
    <t>Mizzen Topgallant Futtock Shrouds</t>
  </si>
  <si>
    <t>Mizzen Topgallant Ratlines</t>
  </si>
  <si>
    <t>Mizzen Standing Backstays</t>
  </si>
  <si>
    <t>Mizzen Shifting Backstays</t>
  </si>
  <si>
    <t xml:space="preserve">                            "                       Fall</t>
  </si>
  <si>
    <t>Mizzen Topgallant Backstays</t>
  </si>
  <si>
    <t xml:space="preserve">                            "                             Lanyards</t>
  </si>
  <si>
    <t>Mizzen Royal Backstays</t>
  </si>
  <si>
    <t xml:space="preserve">                         "                      Lanyards</t>
  </si>
  <si>
    <t>Mizzen Top Rope Pennant</t>
  </si>
  <si>
    <t xml:space="preserve">                     "             Fall</t>
  </si>
  <si>
    <t>Mizzen Woldings</t>
  </si>
  <si>
    <t>Mizzenn Eurphroe Falls and Crowsfeet</t>
  </si>
  <si>
    <t>Mizzen Stay Snaking</t>
  </si>
  <si>
    <t>Fore Pendant Of The Tackle</t>
  </si>
  <si>
    <t>Fore Runner            "</t>
  </si>
  <si>
    <t>Fore Falls                  "</t>
  </si>
  <si>
    <t>Main Pendant Of The Tackle</t>
  </si>
  <si>
    <t>Main Runner            "</t>
  </si>
  <si>
    <t>Main Falls                  "</t>
  </si>
  <si>
    <t>Garnet Pendant</t>
  </si>
  <si>
    <t xml:space="preserve">       "      Runner</t>
  </si>
  <si>
    <t xml:space="preserve">       "      Guy</t>
  </si>
  <si>
    <t xml:space="preserve">       "      Falls</t>
  </si>
  <si>
    <t>Stay Tackle Pendant</t>
  </si>
  <si>
    <t>Fore Hatch Stay Tackle</t>
  </si>
  <si>
    <t>Winding Tackle Pendant</t>
  </si>
  <si>
    <t xml:space="preserve">                "              Fall</t>
  </si>
  <si>
    <r>
      <rPr>
        <rFont val="Arial"/>
        <color rgb="FFFF0000"/>
        <sz val="12.0"/>
        <u/>
      </rPr>
      <t>Note</t>
    </r>
    <r>
      <rPr>
        <rFont val="Arial"/>
        <color rgb="FFFF0000"/>
        <sz val="12.0"/>
        <u/>
      </rPr>
      <t xml:space="preserve">:  For the sake of completeness, this table may show items that were not present on your ship or are not appropriate for the    </t>
    </r>
  </si>
  <si>
    <t>Beam M</t>
  </si>
  <si>
    <t>Main jeer</t>
  </si>
  <si>
    <t>M Br Pen</t>
  </si>
  <si>
    <t>M leech</t>
  </si>
  <si>
    <t>M Tack</t>
  </si>
  <si>
    <t>M St IH</t>
  </si>
  <si>
    <t>M St OH</t>
  </si>
  <si>
    <t>M Ts Tie</t>
  </si>
  <si>
    <t>M Ts Hal</t>
  </si>
  <si>
    <t>M Ts parr</t>
  </si>
  <si>
    <t>M Ts BP</t>
  </si>
  <si>
    <t>M Ts Bra</t>
  </si>
  <si>
    <t>M Ts She</t>
  </si>
  <si>
    <t>M Tg tie</t>
  </si>
  <si>
    <t>M Tg Hal</t>
  </si>
  <si>
    <t>M Tg Par</t>
  </si>
  <si>
    <t>M Tg Lift</t>
  </si>
  <si>
    <t>M St Col</t>
  </si>
  <si>
    <t>M St Hal</t>
  </si>
  <si>
    <t>Sprit Sl</t>
  </si>
  <si>
    <t>Sprit Hal</t>
  </si>
  <si>
    <t>Sprit  sL</t>
  </si>
  <si>
    <t>Sprit Sh P</t>
  </si>
  <si>
    <t>Sprit Clu</t>
  </si>
  <si>
    <t>Sprit Bun</t>
  </si>
  <si>
    <t>SpT Par</t>
  </si>
  <si>
    <t>Sp T ti</t>
  </si>
  <si>
    <t>Sp T Ha</t>
  </si>
  <si>
    <t>Sp T LP</t>
  </si>
  <si>
    <t>Sp T Cl</t>
  </si>
  <si>
    <t>Spt Foot</t>
  </si>
  <si>
    <t>Fore Tie</t>
  </si>
  <si>
    <t>Fore Jeer</t>
  </si>
  <si>
    <t>Fore Tack</t>
  </si>
  <si>
    <t>FT Tie</t>
  </si>
  <si>
    <t>FT Tie R</t>
  </si>
  <si>
    <t>FT  hall</t>
  </si>
  <si>
    <t>FT Lift</t>
  </si>
  <si>
    <t>FT Par R</t>
  </si>
  <si>
    <t>FT Br P</t>
  </si>
  <si>
    <t>FT Leech</t>
  </si>
  <si>
    <t>FT Stay H</t>
  </si>
  <si>
    <t>FT Stay W</t>
  </si>
  <si>
    <t>FTG  Tie</t>
  </si>
  <si>
    <t>FTG Ha</t>
  </si>
  <si>
    <t>CJ Sli</t>
  </si>
  <si>
    <t>CJ Lift</t>
  </si>
  <si>
    <t>CJ Br P</t>
  </si>
  <si>
    <t>CJ Br</t>
  </si>
  <si>
    <t>Mz T Tie</t>
  </si>
  <si>
    <t>MZ T Hal</t>
  </si>
  <si>
    <t>MZ T Pa R</t>
  </si>
  <si>
    <t>MZ T Lift</t>
  </si>
  <si>
    <t>MZ T STI</t>
  </si>
  <si>
    <t>MZ T Br P</t>
  </si>
  <si>
    <t>MZ T Br</t>
  </si>
  <si>
    <t>MZ T Bow</t>
  </si>
  <si>
    <t>MZ T B Br</t>
  </si>
  <si>
    <t>MZ T Clu</t>
  </si>
  <si>
    <t>MZ Y Pa</t>
  </si>
  <si>
    <t>MZ Y Sl</t>
  </si>
  <si>
    <t>MZ Y je</t>
  </si>
  <si>
    <t>MZ Y Bow</t>
  </si>
  <si>
    <t>MZ Y Br</t>
  </si>
  <si>
    <t>Fore BrP</t>
  </si>
  <si>
    <t>Fore LeeF</t>
  </si>
  <si>
    <t>FSS OuHal</t>
  </si>
  <si>
    <t>FSS InHal</t>
  </si>
  <si>
    <t>period when your ship was built.  Please ensure that all items of rigging on your model are verified from a reliable source.</t>
  </si>
  <si>
    <r>
      <rPr>
        <rFont val="Calibri"/>
        <color theme="1"/>
        <sz val="11.0"/>
      </rPr>
      <t xml:space="preserve">Model Size </t>
    </r>
    <r>
      <rPr>
        <rFont val="Calibri"/>
        <b/>
        <color rgb="FF000000"/>
        <sz val="11.0"/>
      </rPr>
      <t>(In Inches)</t>
    </r>
  </si>
  <si>
    <r>
      <rPr>
        <rFont val="Calibri"/>
        <color theme="1"/>
        <sz val="11.0"/>
      </rPr>
      <t xml:space="preserve">Model Size </t>
    </r>
    <r>
      <rPr>
        <rFont val="Calibri"/>
        <b/>
        <color rgb="FF000000"/>
        <sz val="11.0"/>
      </rPr>
      <t>(In Mm)</t>
    </r>
  </si>
  <si>
    <t>Spritsail Yard Parrel Rope</t>
  </si>
  <si>
    <t xml:space="preserve">            "          Parrel Slings</t>
  </si>
  <si>
    <t xml:space="preserve">            "          Halliard</t>
  </si>
  <si>
    <t xml:space="preserve">            "          Garnet</t>
  </si>
  <si>
    <t xml:space="preserve">            ''          Garnet Span</t>
  </si>
  <si>
    <t xml:space="preserve">            "          Standing Lifts</t>
  </si>
  <si>
    <t xml:space="preserve">            "          Brace pendant</t>
  </si>
  <si>
    <t xml:space="preserve">            "          Braces</t>
  </si>
  <si>
    <t xml:space="preserve">            "          Running Lifts</t>
  </si>
  <si>
    <t xml:space="preserve">            "          Sheet Pendants</t>
  </si>
  <si>
    <t xml:space="preserve">            "          Sheet Strop</t>
  </si>
  <si>
    <t xml:space="preserve">            "          Tricing Line</t>
  </si>
  <si>
    <t xml:space="preserve">            "          Clew Lines</t>
  </si>
  <si>
    <t xml:space="preserve">            "          Footropes</t>
  </si>
  <si>
    <t xml:space="preserve">            "          Stirrups</t>
  </si>
  <si>
    <t xml:space="preserve">            "          Reef Points</t>
  </si>
  <si>
    <t xml:space="preserve">            "          Bunt Lines</t>
  </si>
  <si>
    <t xml:space="preserve">            "          Earings</t>
  </si>
  <si>
    <t>Sprit Topsail Yard Parrel</t>
  </si>
  <si>
    <t xml:space="preserve">               "              Ties</t>
  </si>
  <si>
    <t xml:space="preserve">               "              Halliards</t>
  </si>
  <si>
    <t xml:space="preserve">               "              Lifts</t>
  </si>
  <si>
    <t xml:space="preserve">               "              Brace Pendants</t>
  </si>
  <si>
    <t xml:space="preserve">               "              Braces</t>
  </si>
  <si>
    <t xml:space="preserve">               "              Clew Lines</t>
  </si>
  <si>
    <t xml:space="preserve">               "              Footropes</t>
  </si>
  <si>
    <t xml:space="preserve">               "              Earings</t>
  </si>
  <si>
    <t>Spreader Jaw Ropes</t>
  </si>
  <si>
    <t xml:space="preserve">             "         Guys (Fore, Lower and After)</t>
  </si>
  <si>
    <t xml:space="preserve">             "         Lanyards</t>
  </si>
  <si>
    <t xml:space="preserve">             "         Braces (Double)</t>
  </si>
  <si>
    <t xml:space="preserve">             "         Braces (Single)</t>
  </si>
  <si>
    <t xml:space="preserve">             "         Brace Fall</t>
  </si>
  <si>
    <t>Bumkin Shrouds</t>
  </si>
  <si>
    <t xml:space="preserve">     "        Lashing &amp; Lanyards</t>
  </si>
  <si>
    <r>
      <rPr>
        <rFont val="Calibri"/>
        <b/>
        <color theme="1"/>
        <sz val="11.0"/>
      </rPr>
      <t xml:space="preserve">Fore Yard Truss </t>
    </r>
    <r>
      <rPr>
        <rFont val="Calibri"/>
        <b val="0"/>
        <color theme="1"/>
        <sz val="11.0"/>
      </rPr>
      <t>(To 1650 Only)</t>
    </r>
  </si>
  <si>
    <t xml:space="preserve">         "       Ties</t>
  </si>
  <si>
    <t xml:space="preserve">         "       Tie Preventer</t>
  </si>
  <si>
    <t xml:space="preserve">         "       Halliard</t>
  </si>
  <si>
    <t xml:space="preserve">         "       Jeers</t>
  </si>
  <si>
    <t xml:space="preserve">         "       Jeer Falls</t>
  </si>
  <si>
    <t xml:space="preserve">         "       Slings</t>
  </si>
  <si>
    <t xml:space="preserve">         "       Parrel Rope</t>
  </si>
  <si>
    <t xml:space="preserve">         "       Breast Rope</t>
  </si>
  <si>
    <t xml:space="preserve">         "       Nave Line</t>
  </si>
  <si>
    <t xml:space="preserve">         "       Truss Pendant</t>
  </si>
  <si>
    <t xml:space="preserve">         "       Falls</t>
  </si>
  <si>
    <t xml:space="preserve">         "       Lifts</t>
  </si>
  <si>
    <t xml:space="preserve">         "       Brace Pendant</t>
  </si>
  <si>
    <t xml:space="preserve">         "       Braces</t>
  </si>
  <si>
    <t xml:space="preserve">         "       Cap Span</t>
  </si>
  <si>
    <t xml:space="preserve">         "       Preventer Brace</t>
  </si>
  <si>
    <t xml:space="preserve">         "       Yard Tackle Pendant</t>
  </si>
  <si>
    <t xml:space="preserve">         "       Yard Tackle Falls</t>
  </si>
  <si>
    <t xml:space="preserve">         "       Yard Tackle Tricing Lines</t>
  </si>
  <si>
    <t xml:space="preserve">         "       Martnet Legs &amp; Falls</t>
  </si>
  <si>
    <t xml:space="preserve">         "       Leechline Legs &amp; Falls</t>
  </si>
  <si>
    <t xml:space="preserve">         "       Leechline Long Strop</t>
  </si>
  <si>
    <t xml:space="preserve">         "       Buntline Legs &amp; Falls</t>
  </si>
  <si>
    <t xml:space="preserve">         "       Slab Lines</t>
  </si>
  <si>
    <t xml:space="preserve">         "       Clew Garnetts</t>
  </si>
  <si>
    <t xml:space="preserve">         "       Sheets</t>
  </si>
  <si>
    <t xml:space="preserve">         "       Tacks</t>
  </si>
  <si>
    <t xml:space="preserve">         "       Reef Pendants</t>
  </si>
  <si>
    <t xml:space="preserve">         "       Reef Tackles</t>
  </si>
  <si>
    <t xml:space="preserve">         "       Reefing Lines</t>
  </si>
  <si>
    <t xml:space="preserve">         "       Footropes</t>
  </si>
  <si>
    <t xml:space="preserve">         "       Stirrups</t>
  </si>
  <si>
    <t xml:space="preserve">         "       Earings</t>
  </si>
  <si>
    <t>Swinging Boom Topping Lift &amp; Guys</t>
  </si>
  <si>
    <t xml:space="preserve">             "             Bowsing Down Tackle</t>
  </si>
  <si>
    <t>Loose Footed Stunsail Span &amp; Guys</t>
  </si>
  <si>
    <t>Stunsail Outer Halliards</t>
  </si>
  <si>
    <t xml:space="preserve">       "       Inner  Halliards</t>
  </si>
  <si>
    <t xml:space="preserve">       "      Sheets and Tacks</t>
  </si>
  <si>
    <t>Fore Topsail Yard Ties</t>
  </si>
  <si>
    <t xml:space="preserve">               "               Runner Of The Tie </t>
  </si>
  <si>
    <t xml:space="preserve">               "               Halliard</t>
  </si>
  <si>
    <t xml:space="preserve">               "               Parrel Rope</t>
  </si>
  <si>
    <t xml:space="preserve">               "               Truss Parrel</t>
  </si>
  <si>
    <t xml:space="preserve">               "               Lifts</t>
  </si>
  <si>
    <t xml:space="preserve">               "               Brace Pendant</t>
  </si>
  <si>
    <t xml:space="preserve">               "               Braces</t>
  </si>
  <si>
    <t xml:space="preserve">               "               Leech Lines</t>
  </si>
  <si>
    <t xml:space="preserve">               "               Bunt Lines</t>
  </si>
  <si>
    <t xml:space="preserve">               "               Bowlines &amp; Bridles</t>
  </si>
  <si>
    <t xml:space="preserve">               "               Reef Tackle Pendants</t>
  </si>
  <si>
    <t xml:space="preserve">               "               Reef Tackle Falls</t>
  </si>
  <si>
    <t xml:space="preserve">               "               Clew Lines</t>
  </si>
  <si>
    <t xml:space="preserve">               "               Sheets</t>
  </si>
  <si>
    <t xml:space="preserve">               "               Footropes</t>
  </si>
  <si>
    <t xml:space="preserve">               "               Stirrups</t>
  </si>
  <si>
    <t xml:space="preserve">               "               Flemish Horses</t>
  </si>
  <si>
    <t xml:space="preserve">               "               Earings</t>
  </si>
  <si>
    <t>Stunsail Halliards, Sheets and Tacks</t>
  </si>
  <si>
    <t xml:space="preserve">       "       Downhauler</t>
  </si>
  <si>
    <t xml:space="preserve">       "       Boom Tackle</t>
  </si>
  <si>
    <t>Fore Topgallant Yard Ties</t>
  </si>
  <si>
    <t xml:space="preserve">                 "                   Halliard</t>
  </si>
  <si>
    <t xml:space="preserve">                 "                   Parrel Rope</t>
  </si>
  <si>
    <t xml:space="preserve">                 "                   Truss Parrel</t>
  </si>
  <si>
    <t xml:space="preserve">                 "                   Lifts</t>
  </si>
  <si>
    <t xml:space="preserve">                 "                   Brace Pendant</t>
  </si>
  <si>
    <t xml:space="preserve">                 "                   Braces</t>
  </si>
  <si>
    <t xml:space="preserve">                 "                   Bunt Lines</t>
  </si>
  <si>
    <t xml:space="preserve">                 "                   Bowlines &amp; Bridles</t>
  </si>
  <si>
    <t xml:space="preserve">                 "                   Clew Lines</t>
  </si>
  <si>
    <t xml:space="preserve">                 "                   Sheets</t>
  </si>
  <si>
    <t xml:space="preserve">                 "                   Footropes</t>
  </si>
  <si>
    <t xml:space="preserve">                 "                   Stirrups</t>
  </si>
  <si>
    <t xml:space="preserve">                 "                   Earings</t>
  </si>
  <si>
    <t>Stunsail Halliards</t>
  </si>
  <si>
    <t xml:space="preserve">      "        Sheets</t>
  </si>
  <si>
    <t xml:space="preserve">      "        Tacks</t>
  </si>
  <si>
    <t xml:space="preserve">      "        Downhauler</t>
  </si>
  <si>
    <t>Fore Royal Yard Ties</t>
  </si>
  <si>
    <t xml:space="preserve">             "              Truss</t>
  </si>
  <si>
    <t xml:space="preserve">             "              Lifts</t>
  </si>
  <si>
    <t xml:space="preserve">             "              Braces</t>
  </si>
  <si>
    <t xml:space="preserve">             "              Bowlines &amp; Bridles</t>
  </si>
  <si>
    <t xml:space="preserve">             "              Clew Lines</t>
  </si>
  <si>
    <t xml:space="preserve">             "              Sheets</t>
  </si>
  <si>
    <t xml:space="preserve">             "              Footropes</t>
  </si>
  <si>
    <t xml:space="preserve">             "              Earings</t>
  </si>
  <si>
    <t>Fore Staysail Halliards &amp; Sheet Pendants</t>
  </si>
  <si>
    <t xml:space="preserve">          "           Sheet Whips &amp; Tacks</t>
  </si>
  <si>
    <t xml:space="preserve">          "           Downhauler</t>
  </si>
  <si>
    <t>Fore Topmast Staysail Stay</t>
  </si>
  <si>
    <t xml:space="preserve">                    "                   Lanyard</t>
  </si>
  <si>
    <t xml:space="preserve">                    "                   Tackle</t>
  </si>
  <si>
    <t xml:space="preserve">                    "                   Halliard</t>
  </si>
  <si>
    <t xml:space="preserve">                    "                   Sheet Pendants</t>
  </si>
  <si>
    <t xml:space="preserve">                    "                   Whips</t>
  </si>
  <si>
    <t xml:space="preserve">                    "                   Tacks</t>
  </si>
  <si>
    <t xml:space="preserve">                    "                   Downhauler</t>
  </si>
  <si>
    <t xml:space="preserve">                    "                   Outhauler</t>
  </si>
  <si>
    <t xml:space="preserve">                    "                   Netting</t>
  </si>
  <si>
    <t>Jib Stay</t>
  </si>
  <si>
    <t>Jib Stay Fall</t>
  </si>
  <si>
    <t xml:space="preserve">  "  Stay Tackle</t>
  </si>
  <si>
    <t xml:space="preserve">  "  Halliard and Outhauler</t>
  </si>
  <si>
    <t xml:space="preserve">  "  Outhauler Tackle and Downhauler</t>
  </si>
  <si>
    <t xml:space="preserve">  "  Sheet Pendants</t>
  </si>
  <si>
    <t xml:space="preserve">  '   Whips and Tacks</t>
  </si>
  <si>
    <t>Flying Jib Halliards &amp; Sheets</t>
  </si>
  <si>
    <t xml:space="preserve">         "       Downhauler</t>
  </si>
  <si>
    <t>Fore Trysail Parrels</t>
  </si>
  <si>
    <t xml:space="preserve">            "        Throat Halliards</t>
  </si>
  <si>
    <t xml:space="preserve">            "        Peak Span</t>
  </si>
  <si>
    <t xml:space="preserve">            "        Peak Span Pennants</t>
  </si>
  <si>
    <t xml:space="preserve">            "        Vangs</t>
  </si>
  <si>
    <t xml:space="preserve">            "        Peak, Middle &amp; Foot Brails</t>
  </si>
  <si>
    <t xml:space="preserve">            "        Throat Brails</t>
  </si>
  <si>
    <t xml:space="preserve">            "        Tack</t>
  </si>
  <si>
    <t xml:space="preserve">            "        Sheets</t>
  </si>
  <si>
    <t xml:space="preserve">            "        Outhauler</t>
  </si>
  <si>
    <t xml:space="preserve">            "        Inhauler</t>
  </si>
  <si>
    <t>Main Yard Truss (To 1650 Only)</t>
  </si>
  <si>
    <t xml:space="preserve">        "         Ties</t>
  </si>
  <si>
    <t xml:space="preserve">        "         Tie Preventer</t>
  </si>
  <si>
    <t xml:space="preserve">        "         Halliard</t>
  </si>
  <si>
    <t xml:space="preserve">        "         Jeers</t>
  </si>
  <si>
    <t xml:space="preserve">        "         Jeer Falls</t>
  </si>
  <si>
    <t xml:space="preserve">        "         Slings</t>
  </si>
  <si>
    <t xml:space="preserve">        "         Parrel Rope</t>
  </si>
  <si>
    <t xml:space="preserve">        "         Breast Rope</t>
  </si>
  <si>
    <t xml:space="preserve">        "         Nave Line</t>
  </si>
  <si>
    <t xml:space="preserve">        "         Truss Pendant</t>
  </si>
  <si>
    <t xml:space="preserve">        "         Falls</t>
  </si>
  <si>
    <t xml:space="preserve">        "         Lifts</t>
  </si>
  <si>
    <t xml:space="preserve">        "         Brace Pendant</t>
  </si>
  <si>
    <t xml:space="preserve">        "         Braces</t>
  </si>
  <si>
    <t xml:space="preserve">        "         Cap Span</t>
  </si>
  <si>
    <t xml:space="preserve">        "         Brace Span</t>
  </si>
  <si>
    <t xml:space="preserve">        "         Preventer Brace</t>
  </si>
  <si>
    <t xml:space="preserve">        "         Yard Tackle Pendant</t>
  </si>
  <si>
    <t xml:space="preserve">        "         Yard Tackle Falls</t>
  </si>
  <si>
    <t xml:space="preserve">        "         Yard Tackle Tricing Lines</t>
  </si>
  <si>
    <t xml:space="preserve">        "         Martnet Legs</t>
  </si>
  <si>
    <t xml:space="preserve">        "         Martnet Falls</t>
  </si>
  <si>
    <t xml:space="preserve">        "         Leechline Legs &amp; Falls</t>
  </si>
  <si>
    <t xml:space="preserve">        "         Leechline Long Strop</t>
  </si>
  <si>
    <t xml:space="preserve">        "         Buntline Legs &amp; Falls</t>
  </si>
  <si>
    <t xml:space="preserve">        "         Slab Lines</t>
  </si>
  <si>
    <t xml:space="preserve">        "         Bowlines &amp; Bridles</t>
  </si>
  <si>
    <t xml:space="preserve">        "         Clew Garnetts</t>
  </si>
  <si>
    <t xml:space="preserve">        "         Sheets</t>
  </si>
  <si>
    <t xml:space="preserve">        "         Tacks</t>
  </si>
  <si>
    <t xml:space="preserve">        "         Reef Pendants</t>
  </si>
  <si>
    <t xml:space="preserve">        "         Reef Tackles</t>
  </si>
  <si>
    <t xml:space="preserve">        "         Reefing Lines</t>
  </si>
  <si>
    <t xml:space="preserve">        "         Footropes</t>
  </si>
  <si>
    <t xml:space="preserve">        "         Stirrups</t>
  </si>
  <si>
    <t xml:space="preserve">        "         Earings</t>
  </si>
  <si>
    <t>Main Topsail Yard Ties</t>
  </si>
  <si>
    <t xml:space="preserve">                "               Runner Of The Tie </t>
  </si>
  <si>
    <t xml:space="preserve">                "               Halliard</t>
  </si>
  <si>
    <t xml:space="preserve">                "               Parrel Rope</t>
  </si>
  <si>
    <t xml:space="preserve">                "               Truss Parrel</t>
  </si>
  <si>
    <t xml:space="preserve">                "               Lifts</t>
  </si>
  <si>
    <t xml:space="preserve">                "               Brace Pendant</t>
  </si>
  <si>
    <t xml:space="preserve">                "               Braces</t>
  </si>
  <si>
    <t xml:space="preserve">                "               Leech Lines</t>
  </si>
  <si>
    <t xml:space="preserve">                "               Bunt Lines</t>
  </si>
  <si>
    <t xml:space="preserve">                "               Bowlines &amp; Bridles</t>
  </si>
  <si>
    <t xml:space="preserve">                "               Reef Tackle Pendants</t>
  </si>
  <si>
    <t xml:space="preserve">                "               Reef Tackle Falls</t>
  </si>
  <si>
    <t xml:space="preserve">                "               Clew Lines</t>
  </si>
  <si>
    <t xml:space="preserve">                "               Sheets</t>
  </si>
  <si>
    <t xml:space="preserve">                "               Footropes</t>
  </si>
  <si>
    <t xml:space="preserve">                "               Stirrups</t>
  </si>
  <si>
    <t xml:space="preserve">                "               Flemish Horses</t>
  </si>
  <si>
    <t xml:space="preserve">                "               Earings</t>
  </si>
  <si>
    <t>Main Topgallant Yard Ties</t>
  </si>
  <si>
    <t xml:space="preserve">                  "                   Halliard</t>
  </si>
  <si>
    <t xml:space="preserve">                  "                   Parrel Rope</t>
  </si>
  <si>
    <t xml:space="preserve">                  "                   Truss Parrel</t>
  </si>
  <si>
    <t xml:space="preserve">                  "                   Lifts</t>
  </si>
  <si>
    <t xml:space="preserve">                  "                   Brace Pendant</t>
  </si>
  <si>
    <t xml:space="preserve">                  "                   Braces</t>
  </si>
  <si>
    <t xml:space="preserve">                  "                   Bunt Lines</t>
  </si>
  <si>
    <t xml:space="preserve">                  "                   Bowlines &amp; Bridles</t>
  </si>
  <si>
    <t xml:space="preserve">                  "                   Clew Lines</t>
  </si>
  <si>
    <t xml:space="preserve">                  "                   Sheets</t>
  </si>
  <si>
    <t xml:space="preserve">                  "                   Footropes</t>
  </si>
  <si>
    <t xml:space="preserve">                  "                   Stirrups</t>
  </si>
  <si>
    <t xml:space="preserve">                  "                   Earings</t>
  </si>
  <si>
    <t>Main Royal Yard Ties</t>
  </si>
  <si>
    <t xml:space="preserve">              "              Truss</t>
  </si>
  <si>
    <t xml:space="preserve">              "              Lifts</t>
  </si>
  <si>
    <t xml:space="preserve">              "              Braces</t>
  </si>
  <si>
    <t xml:space="preserve">              "              Bowlines &amp; Bridles</t>
  </si>
  <si>
    <t xml:space="preserve">              "              Clew Lines</t>
  </si>
  <si>
    <t xml:space="preserve">              "              Sheets</t>
  </si>
  <si>
    <t xml:space="preserve">              "              Footropes</t>
  </si>
  <si>
    <t xml:space="preserve">              "              Earings</t>
  </si>
  <si>
    <t>Main Staysail Stay</t>
  </si>
  <si>
    <t xml:space="preserve">          "             Collar</t>
  </si>
  <si>
    <t xml:space="preserve">          "             Lanyard</t>
  </si>
  <si>
    <t xml:space="preserve">          "             Halliard</t>
  </si>
  <si>
    <t xml:space="preserve">          "             Halliard Fall</t>
  </si>
  <si>
    <t xml:space="preserve">          '             Sheets, Tacks and Downhauler</t>
  </si>
  <si>
    <t>Main Topmast Staysail Stay</t>
  </si>
  <si>
    <t xml:space="preserve">                      "                 Sheet Pendants</t>
  </si>
  <si>
    <t xml:space="preserve">                      "                 Sheets</t>
  </si>
  <si>
    <t xml:space="preserve">                      "                 Sheet Whips</t>
  </si>
  <si>
    <t xml:space="preserve">                      "                 Halliards</t>
  </si>
  <si>
    <t xml:space="preserve">                      "                 Tacks</t>
  </si>
  <si>
    <t xml:space="preserve">                      "                 Downhauler</t>
  </si>
  <si>
    <t xml:space="preserve">                                        Brails</t>
  </si>
  <si>
    <t>Middle Staysail Stay</t>
  </si>
  <si>
    <t xml:space="preserve">               "           Stay Fall</t>
  </si>
  <si>
    <t xml:space="preserve">               "           Lanyard</t>
  </si>
  <si>
    <t xml:space="preserve">               "           Halliard</t>
  </si>
  <si>
    <t xml:space="preserve">               "           Sheets &amp; Tacks</t>
  </si>
  <si>
    <t xml:space="preserve">               "           Downhauler and Tricing Line</t>
  </si>
  <si>
    <t>Main Topgallant Staysail Stay</t>
  </si>
  <si>
    <t xml:space="preserve">                        "                  Halliard</t>
  </si>
  <si>
    <t xml:space="preserve">                        "                  Sheet Pendants</t>
  </si>
  <si>
    <t xml:space="preserve">                        "                  Sheet Whips</t>
  </si>
  <si>
    <t xml:space="preserve">                        "                  Tacks &amp; Downhauler</t>
  </si>
  <si>
    <t>Main Royal Staysail Halliard</t>
  </si>
  <si>
    <t xml:space="preserve">                "                 Sheets</t>
  </si>
  <si>
    <t xml:space="preserve">                "                 Tacks &amp; Downhauler</t>
  </si>
  <si>
    <t>Main Trysail Parrels</t>
  </si>
  <si>
    <t xml:space="preserve">            "         Throat Halliards</t>
  </si>
  <si>
    <t xml:space="preserve">            "         Peak Span</t>
  </si>
  <si>
    <t xml:space="preserve">            "         Peak Span Pennants</t>
  </si>
  <si>
    <t xml:space="preserve">            "         Vangs</t>
  </si>
  <si>
    <t xml:space="preserve">            "         Tack</t>
  </si>
  <si>
    <t xml:space="preserve">            "         Sheets</t>
  </si>
  <si>
    <t xml:space="preserve">            "         Outhauler</t>
  </si>
  <si>
    <t xml:space="preserve">            "         Inhauler</t>
  </si>
  <si>
    <t>Crossjack Yard Sling</t>
  </si>
  <si>
    <t xml:space="preserve">            "            Truss Pendant</t>
  </si>
  <si>
    <t xml:space="preserve">            "            Lifts</t>
  </si>
  <si>
    <t xml:space="preserve">            "            Lift Lanyards</t>
  </si>
  <si>
    <t xml:space="preserve">            "            Brace Pendant</t>
  </si>
  <si>
    <t xml:space="preserve">            "            Braces</t>
  </si>
  <si>
    <t xml:space="preserve">            "            Footropes</t>
  </si>
  <si>
    <t xml:space="preserve">            "            Stirrups</t>
  </si>
  <si>
    <t>Mizzen Topsail Yard Ties</t>
  </si>
  <si>
    <t xml:space="preserve">                   "               Runner of the Tie</t>
  </si>
  <si>
    <t xml:space="preserve">                   "               Halliard</t>
  </si>
  <si>
    <t xml:space="preserve">                   "               Parrel Rope</t>
  </si>
  <si>
    <t xml:space="preserve">                   "               Truss Parrel</t>
  </si>
  <si>
    <t xml:space="preserve">                   "               Lifts</t>
  </si>
  <si>
    <t xml:space="preserve">                   "               Lift Falls</t>
  </si>
  <si>
    <t xml:space="preserve">                   "               Brace Pendant</t>
  </si>
  <si>
    <t xml:space="preserve">                   "               Braces</t>
  </si>
  <si>
    <t xml:space="preserve">                   "               Leech Lines</t>
  </si>
  <si>
    <t xml:space="preserve">                   "               Bunt Lines</t>
  </si>
  <si>
    <t xml:space="preserve">                   "               Bowlines</t>
  </si>
  <si>
    <t xml:space="preserve">                   "               Bowline Bridles</t>
  </si>
  <si>
    <t xml:space="preserve">                   "               Reef Tackle Pendants</t>
  </si>
  <si>
    <t xml:space="preserve">                   "               Reef Tackle Falls</t>
  </si>
  <si>
    <t xml:space="preserve">                   "               Clew Lines</t>
  </si>
  <si>
    <t xml:space="preserve">                   "               Sheets</t>
  </si>
  <si>
    <t xml:space="preserve">                   "               Footropes</t>
  </si>
  <si>
    <t xml:space="preserve">                   "               Stirrups</t>
  </si>
  <si>
    <t xml:space="preserve">                   "               Flemish Horses</t>
  </si>
  <si>
    <t xml:space="preserve">                   "               Earings</t>
  </si>
  <si>
    <t>Mizzen  Topgallant Yard Ties</t>
  </si>
  <si>
    <t xml:space="preserve">                      "                   Halliard</t>
  </si>
  <si>
    <t xml:space="preserve">                      "                   Parrel Rope</t>
  </si>
  <si>
    <t xml:space="preserve">                      "                  Truss Parrel</t>
  </si>
  <si>
    <t xml:space="preserve">                      "                   Lifts</t>
  </si>
  <si>
    <t xml:space="preserve">                      "                   Braces</t>
  </si>
  <si>
    <t xml:space="preserve">                      "                   Bunt Lines</t>
  </si>
  <si>
    <t xml:space="preserve">                      "                   Bowlines &amp; Bridles</t>
  </si>
  <si>
    <t xml:space="preserve">                      "                   Clew Lines</t>
  </si>
  <si>
    <t xml:space="preserve">                      "                   Sheets</t>
  </si>
  <si>
    <t xml:space="preserve">                      "                   Footropes</t>
  </si>
  <si>
    <t xml:space="preserve">                      "                   Stirrups</t>
  </si>
  <si>
    <t xml:space="preserve">                      "                   Earings</t>
  </si>
  <si>
    <t>Mizzen Royal Yard Ties</t>
  </si>
  <si>
    <t xml:space="preserve">                 "              Truss</t>
  </si>
  <si>
    <t xml:space="preserve">                 "              Lifts</t>
  </si>
  <si>
    <t xml:space="preserve">                 "              Braces</t>
  </si>
  <si>
    <t xml:space="preserve">                 "              Bowlines &amp; Bridles</t>
  </si>
  <si>
    <t xml:space="preserve">                 "              Clew Lines</t>
  </si>
  <si>
    <t xml:space="preserve">                 "              Sheets</t>
  </si>
  <si>
    <t xml:space="preserve">                 "              Footropes</t>
  </si>
  <si>
    <t xml:space="preserve">                 "              Earings</t>
  </si>
  <si>
    <t>Mizzen Yard Parrel</t>
  </si>
  <si>
    <t xml:space="preserve">           "          Truss Parrel</t>
  </si>
  <si>
    <t xml:space="preserve">           "          Truss</t>
  </si>
  <si>
    <t xml:space="preserve">           "          Sling</t>
  </si>
  <si>
    <t xml:space="preserve">           "          Tie      </t>
  </si>
  <si>
    <t xml:space="preserve">           "          Tie Fall</t>
  </si>
  <si>
    <t xml:space="preserve">           "          Jeers</t>
  </si>
  <si>
    <t xml:space="preserve">           "          Lift, Span &amp; Falls</t>
  </si>
  <si>
    <t xml:space="preserve">           "          Bowlines</t>
  </si>
  <si>
    <t xml:space="preserve">           "          Martnets &amp; Martnet Legs</t>
  </si>
  <si>
    <t xml:space="preserve">           "          Brails</t>
  </si>
  <si>
    <t xml:space="preserve">           "          Peak Brails</t>
  </si>
  <si>
    <t xml:space="preserve">           "          Middle Brails</t>
  </si>
  <si>
    <t xml:space="preserve">           "          Throat &amp; Foot Brails</t>
  </si>
  <si>
    <t xml:space="preserve">           "          Peak &amp; Throat Brails Combined</t>
  </si>
  <si>
    <t xml:space="preserve">           "          Peak, Middle &amp; Throat Brails</t>
  </si>
  <si>
    <t xml:space="preserve">                       When Sail Laced To Mast</t>
  </si>
  <si>
    <t xml:space="preserve">           "          Fancy Lines &amp; Spans</t>
  </si>
  <si>
    <t xml:space="preserve">           "          Vang Pennants</t>
  </si>
  <si>
    <t xml:space="preserve">           "          Vang Falls</t>
  </si>
  <si>
    <t xml:space="preserve">           "          Smiting Lines</t>
  </si>
  <si>
    <t xml:space="preserve">           "          Earings</t>
  </si>
  <si>
    <t>Mizzen Gaff Parrel</t>
  </si>
  <si>
    <t xml:space="preserve">           "         Topping Lift</t>
  </si>
  <si>
    <t xml:space="preserve">           "         Throat Haliards</t>
  </si>
  <si>
    <t xml:space="preserve">           "         Vang Pennants</t>
  </si>
  <si>
    <t xml:space="preserve">           "         Vang Falls</t>
  </si>
  <si>
    <t>Mizzen Boom Truss Parrel</t>
  </si>
  <si>
    <t xml:space="preserve">           "             Topping Lift</t>
  </si>
  <si>
    <t xml:space="preserve">           "             Topping Lift Falls</t>
  </si>
  <si>
    <t xml:space="preserve">           "             Sheets</t>
  </si>
  <si>
    <t xml:space="preserve">           "             Sheet &amp; Guy Combined</t>
  </si>
  <si>
    <t xml:space="preserve">           "             Guy Pennants</t>
  </si>
  <si>
    <t xml:space="preserve">           "             Guy Falls</t>
  </si>
  <si>
    <t xml:space="preserve">           "             Horses</t>
  </si>
  <si>
    <t>Driver Halliard</t>
  </si>
  <si>
    <t xml:space="preserve">     "      Yard Halliards</t>
  </si>
  <si>
    <t xml:space="preserve">     "      Throat Halliards</t>
  </si>
  <si>
    <t xml:space="preserve">     "      Downhauler</t>
  </si>
  <si>
    <t xml:space="preserve">     "      Tacks</t>
  </si>
  <si>
    <t xml:space="preserve">     "      Sheets</t>
  </si>
  <si>
    <t xml:space="preserve">     "      Sheet Falls</t>
  </si>
  <si>
    <t xml:space="preserve">     "      Earings</t>
  </si>
  <si>
    <t>Spanker Earings</t>
  </si>
  <si>
    <t xml:space="preserve">       "       Peak, Middle and Foot Brails</t>
  </si>
  <si>
    <t xml:space="preserve">       "       Throat Brails</t>
  </si>
  <si>
    <t xml:space="preserve">       "       Earings</t>
  </si>
  <si>
    <t xml:space="preserve">       "       Tacks</t>
  </si>
  <si>
    <t xml:space="preserve">       "       Sheets</t>
  </si>
  <si>
    <t>Mizzen Staysail Stay</t>
  </si>
  <si>
    <t xml:space="preserve">              "             Collar</t>
  </si>
  <si>
    <t xml:space="preserve">              "             Lanyard</t>
  </si>
  <si>
    <t xml:space="preserve">              "             Halliard</t>
  </si>
  <si>
    <t xml:space="preserve">              "             Sheets</t>
  </si>
  <si>
    <t xml:space="preserve">              "             Tacks</t>
  </si>
  <si>
    <t xml:space="preserve">              "             Downhauler</t>
  </si>
  <si>
    <t xml:space="preserve">              "             Brails</t>
  </si>
  <si>
    <t>Mizzen Topmast Staysail Halliards</t>
  </si>
  <si>
    <t xml:space="preserve">                        "                   Sheets</t>
  </si>
  <si>
    <t xml:space="preserve">                        "                   Tacks</t>
  </si>
  <si>
    <t xml:space="preserve">                        "                   Downhauler</t>
  </si>
  <si>
    <t>Mizzen Topgallant Staysail Halliards</t>
  </si>
  <si>
    <t xml:space="preserve">                        "                       Sheets</t>
  </si>
  <si>
    <t xml:space="preserve">                        "                       Tacks</t>
  </si>
  <si>
    <t xml:space="preserve">                        "                       Downhauler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</si>
</sst>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25">
    <font>
      <sz val="11.0"/>
      <color theme="1"/>
      <name val="Calibri"/>
      <scheme val="minor"/>
    </font>
    <font>
      <sz val="11.0"/>
      <color theme="1"/>
      <name val="Calibri"/>
    </font>
    <font>
      <b/>
      <u/>
      <sz val="20.0"/>
      <color rgb="FF632423"/>
      <name val="Corsiva"/>
    </font>
    <font/>
    <font>
      <sz val="12.0"/>
      <color rgb="FF000000"/>
      <name val="Arial"/>
    </font>
    <font>
      <sz val="12.0"/>
      <color theme="1"/>
      <name val="Calibri"/>
    </font>
    <font>
      <sz val="11.0"/>
      <color rgb="FF000000"/>
      <name val="Arial"/>
    </font>
    <font>
      <b/>
      <sz val="14.0"/>
      <color theme="1"/>
      <name val="Calibri"/>
    </font>
    <font>
      <u/>
      <sz val="12.0"/>
      <color rgb="FFFF0000"/>
      <name val="Arial"/>
    </font>
    <font>
      <sz val="12.0"/>
      <color rgb="FFFF0000"/>
      <name val="Arial"/>
    </font>
    <font>
      <sz val="11.0"/>
      <color theme="1"/>
      <name val="Arial"/>
    </font>
    <font>
      <b/>
      <sz val="11.0"/>
      <color theme="1"/>
      <name val="Arial"/>
    </font>
    <font>
      <b/>
      <sz val="11.0"/>
      <color theme="1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2.0"/>
      <color rgb="FFFF0000"/>
      <name val="Arial"/>
    </font>
    <font>
      <b/>
      <sz val="9.0"/>
      <color theme="1"/>
      <name val="Calibri"/>
    </font>
    <font>
      <sz val="9.0"/>
      <color theme="1"/>
      <name val="Calibri"/>
    </font>
    <font>
      <sz val="9.0"/>
      <color theme="1"/>
      <name val="Arial"/>
    </font>
    <font>
      <b/>
      <sz val="10.0"/>
      <color theme="1"/>
      <name val="Calibri"/>
    </font>
    <font>
      <b/>
      <sz val="10.0"/>
      <color rgb="FF993300"/>
      <name val="Calibri"/>
    </font>
    <font>
      <sz val="10.0"/>
      <color theme="1"/>
      <name val="Calibri"/>
    </font>
    <font>
      <b/>
      <sz val="11.0"/>
      <color rgb="FF993300"/>
      <name val="Calibri"/>
    </font>
    <font>
      <b/>
      <sz val="10.0"/>
      <color theme="1"/>
      <name val="Arial"/>
    </font>
    <font>
      <sz val="10.0"/>
      <color theme="1"/>
      <name val="Arial"/>
    </font>
  </fonts>
  <fills count="39">
    <fill>
      <patternFill patternType="none"/>
    </fill>
    <fill>
      <patternFill patternType="lightGray"/>
    </fill>
    <fill>
      <patternFill patternType="solid">
        <fgColor rgb="FFFFFF99"/>
        <bgColor rgb="FFFFFF99"/>
      </patternFill>
    </fill>
    <fill>
      <patternFill patternType="solid">
        <fgColor rgb="FFC4BD97"/>
        <bgColor rgb="FFC4BD97"/>
      </patternFill>
    </fill>
    <fill>
      <patternFill patternType="solid">
        <fgColor rgb="FFFF0000"/>
        <bgColor rgb="FFFF0000"/>
      </patternFill>
    </fill>
    <fill>
      <patternFill patternType="solid">
        <fgColor rgb="FFFDE9D9"/>
        <bgColor rgb="FFFDE9D9"/>
      </patternFill>
    </fill>
    <fill>
      <patternFill patternType="solid">
        <fgColor theme="0"/>
        <bgColor theme="0"/>
      </patternFill>
    </fill>
    <fill>
      <patternFill patternType="solid">
        <fgColor rgb="FF8DB3E2"/>
        <bgColor rgb="FF8DB3E2"/>
      </patternFill>
    </fill>
    <fill>
      <patternFill patternType="solid">
        <fgColor rgb="FFD6E3BC"/>
        <bgColor rgb="FFD6E3BC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95B3D7"/>
        <bgColor rgb="FF95B3D7"/>
      </patternFill>
    </fill>
    <fill>
      <patternFill patternType="solid">
        <fgColor theme="4"/>
        <bgColor theme="4"/>
      </patternFill>
    </fill>
    <fill>
      <patternFill patternType="solid">
        <fgColor rgb="FF00CCFF"/>
        <bgColor rgb="FF00CCFF"/>
      </patternFill>
    </fill>
    <fill>
      <patternFill patternType="solid">
        <fgColor rgb="FF0066CC"/>
        <bgColor rgb="FF0066CC"/>
      </patternFill>
    </fill>
    <fill>
      <patternFill patternType="solid">
        <fgColor rgb="FF366092"/>
        <bgColor rgb="FF366092"/>
      </patternFill>
    </fill>
    <fill>
      <patternFill patternType="solid">
        <fgColor rgb="FFC6D9F0"/>
        <bgColor rgb="FFC6D9F0"/>
      </patternFill>
    </fill>
    <fill>
      <patternFill patternType="solid">
        <fgColor rgb="FF548DD4"/>
        <bgColor rgb="FF548DD4"/>
      </patternFill>
    </fill>
    <fill>
      <patternFill patternType="solid">
        <fgColor theme="9"/>
        <bgColor theme="9"/>
      </patternFill>
    </fill>
    <fill>
      <patternFill patternType="solid">
        <fgColor rgb="FFFFFF00"/>
        <bgColor rgb="FFFFFF00"/>
      </patternFill>
    </fill>
    <fill>
      <patternFill patternType="solid">
        <fgColor rgb="FFE5DFEC"/>
        <bgColor rgb="FFE5DFEC"/>
      </patternFill>
    </fill>
    <fill>
      <patternFill patternType="solid">
        <fgColor rgb="FFCCC0D9"/>
        <bgColor rgb="FFCCC0D9"/>
      </patternFill>
    </fill>
    <fill>
      <patternFill patternType="solid">
        <fgColor rgb="FFB2A1C7"/>
        <bgColor rgb="FFB2A1C7"/>
      </patternFill>
    </fill>
    <fill>
      <patternFill patternType="solid">
        <fgColor rgb="FF5F497A"/>
        <bgColor rgb="FF5F497A"/>
      </patternFill>
    </fill>
    <fill>
      <patternFill patternType="solid">
        <fgColor theme="7"/>
        <bgColor theme="7"/>
      </patternFill>
    </fill>
    <fill>
      <patternFill patternType="solid">
        <fgColor rgb="FFEAF1DD"/>
        <bgColor rgb="FFEAF1DD"/>
      </patternFill>
    </fill>
    <fill>
      <patternFill patternType="solid">
        <fgColor rgb="FFC2D69B"/>
        <bgColor rgb="FFC2D69B"/>
      </patternFill>
    </fill>
    <fill>
      <patternFill patternType="solid">
        <fgColor rgb="FF76923C"/>
        <bgColor rgb="FF76923C"/>
      </patternFill>
    </fill>
    <fill>
      <patternFill patternType="solid">
        <fgColor theme="6"/>
        <bgColor theme="6"/>
      </patternFill>
    </fill>
    <fill>
      <patternFill patternType="solid">
        <fgColor rgb="FF99CC00"/>
        <bgColor rgb="FF99CC00"/>
      </patternFill>
    </fill>
    <fill>
      <patternFill patternType="solid">
        <fgColor rgb="FF008000"/>
        <bgColor rgb="FF008000"/>
      </patternFill>
    </fill>
    <fill>
      <patternFill patternType="solid">
        <fgColor rgb="FFEEECE1"/>
        <bgColor rgb="FFEEECE1"/>
      </patternFill>
    </fill>
    <fill>
      <patternFill patternType="solid">
        <fgColor rgb="FFDDD9C3"/>
        <bgColor rgb="FFDDD9C3"/>
      </patternFill>
    </fill>
    <fill>
      <patternFill patternType="solid">
        <fgColor rgb="FF938953"/>
        <bgColor rgb="FF938953"/>
      </patternFill>
    </fill>
    <fill>
      <patternFill patternType="solid">
        <fgColor rgb="FF494429"/>
        <bgColor rgb="FF494429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A5A5A5"/>
        <bgColor rgb="FFA5A5A5"/>
      </patternFill>
    </fill>
  </fills>
  <borders count="6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/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top style="thick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bottom style="double">
        <color rgb="FF000000"/>
      </bottom>
    </border>
    <border>
      <left/>
      <right style="thin">
        <color rgb="FF000000"/>
      </right>
      <top style="thin">
        <color rgb="FF000000"/>
      </top>
      <bottom style="double">
        <color rgb="FF000000"/>
      </bottom>
    </border>
    <border>
      <left/>
      <right style="thick">
        <color rgb="FF000000"/>
      </right>
      <top/>
      <bottom style="double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double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double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/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/>
      <top style="thick">
        <color rgb="FF000000"/>
      </top>
      <bottom/>
    </border>
    <border>
      <left/>
      <right/>
      <top style="thick">
        <color rgb="FF000000"/>
      </top>
      <bottom/>
    </border>
    <border>
      <left/>
      <right style="thick">
        <color rgb="FF000000"/>
      </right>
      <top style="thick">
        <color rgb="FF000000"/>
      </top>
      <bottom/>
    </border>
    <border>
      <left style="thick">
        <color rgb="FF000000"/>
      </left>
      <right/>
      <top/>
      <bottom/>
    </border>
    <border>
      <left/>
      <right style="thick">
        <color rgb="FF000000"/>
      </right>
      <top/>
      <bottom/>
    </border>
    <border>
      <left style="thick">
        <color rgb="FF000000"/>
      </left>
      <right/>
      <top/>
      <bottom style="thick">
        <color rgb="FF000000"/>
      </bottom>
    </border>
    <border>
      <left/>
      <right/>
      <top/>
      <bottom style="thick">
        <color rgb="FF000000"/>
      </bottom>
    </border>
    <border>
      <left/>
      <right style="thick">
        <color rgb="FF000000"/>
      </right>
      <top/>
      <bottom style="thick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ck">
        <color rgb="FF000000"/>
      </left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double">
        <color rgb="FF000000"/>
      </top>
      <bottom style="thin">
        <color rgb="FF000000"/>
      </bottom>
    </border>
    <border>
      <left/>
      <right style="thin">
        <color rgb="FF000000"/>
      </right>
      <top style="double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/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2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2" fontId="2" numFmtId="0" xfId="0" applyAlignment="1" applyBorder="1" applyFont="1">
      <alignment horizontal="center" shrinkToFit="0" vertical="bottom" wrapText="0"/>
    </xf>
    <xf borderId="3" fillId="0" fontId="3" numFmtId="0" xfId="0" applyBorder="1" applyFont="1"/>
    <xf borderId="4" fillId="0" fontId="3" numFmtId="0" xfId="0" applyBorder="1" applyFont="1"/>
    <xf borderId="0" fillId="0" fontId="1" numFmtId="0" xfId="0" applyAlignment="1" applyFont="1">
      <alignment shrinkToFit="0" vertical="bottom" wrapText="0"/>
    </xf>
    <xf borderId="1" fillId="3" fontId="4" numFmtId="0" xfId="0" applyAlignment="1" applyBorder="1" applyFill="1" applyFont="1">
      <alignment shrinkToFit="0" vertical="bottom" wrapText="0"/>
    </xf>
    <xf borderId="1" fillId="3" fontId="5" numFmtId="0" xfId="0" applyAlignment="1" applyBorder="1" applyFont="1">
      <alignment shrinkToFit="0" vertical="bottom" wrapText="0"/>
    </xf>
    <xf borderId="1" fillId="3" fontId="1" numFmtId="0" xfId="0" applyAlignment="1" applyBorder="1" applyFont="1">
      <alignment shrinkToFit="0" vertical="bottom" wrapText="0"/>
    </xf>
    <xf borderId="1" fillId="2" fontId="6" numFmtId="0" xfId="0" applyAlignment="1" applyBorder="1" applyFont="1">
      <alignment shrinkToFit="0" vertical="bottom" wrapText="0"/>
    </xf>
    <xf borderId="1" fillId="2" fontId="7" numFmtId="0" xfId="0" applyAlignment="1" applyBorder="1" applyFont="1">
      <alignment horizontal="right" shrinkToFit="0" vertical="bottom" wrapText="0"/>
    </xf>
    <xf borderId="5" fillId="4" fontId="7" numFmtId="0" xfId="0" applyAlignment="1" applyBorder="1" applyFill="1" applyFont="1">
      <alignment horizontal="center" shrinkToFit="0" vertical="bottom" wrapText="0"/>
    </xf>
    <xf borderId="1" fillId="2" fontId="1" numFmtId="0" xfId="0" applyAlignment="1" applyBorder="1" applyFont="1">
      <alignment horizontal="center" shrinkToFit="0" vertical="bottom" wrapText="0"/>
    </xf>
    <xf borderId="1" fillId="2" fontId="8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1" fillId="2" fontId="9" numFmtId="0" xfId="0" applyAlignment="1" applyBorder="1" applyFont="1">
      <alignment shrinkToFit="0" vertical="bottom" wrapText="0"/>
    </xf>
    <xf borderId="1" fillId="5" fontId="10" numFmtId="0" xfId="0" applyAlignment="1" applyBorder="1" applyFill="1" applyFont="1">
      <alignment shrinkToFit="0" vertical="bottom" wrapText="0"/>
    </xf>
    <xf borderId="6" fillId="4" fontId="11" numFmtId="0" xfId="0" applyAlignment="1" applyBorder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0" fillId="0" fontId="10" numFmtId="0" xfId="0" applyAlignment="1" applyFont="1">
      <alignment shrinkToFit="0" vertical="bottom" wrapText="0"/>
    </xf>
    <xf borderId="1" fillId="5" fontId="1" numFmtId="0" xfId="0" applyAlignment="1" applyBorder="1" applyFont="1">
      <alignment shrinkToFit="0" vertical="bottom" wrapText="0"/>
    </xf>
    <xf borderId="9" fillId="6" fontId="12" numFmtId="0" xfId="0" applyAlignment="1" applyBorder="1" applyFill="1" applyFont="1">
      <alignment horizontal="center" shrinkToFit="0" vertical="top" wrapText="0"/>
    </xf>
    <xf borderId="9" fillId="6" fontId="12" numFmtId="0" xfId="0" applyAlignment="1" applyBorder="1" applyFont="1">
      <alignment horizontal="center" shrinkToFit="0" vertical="top" wrapText="1"/>
    </xf>
    <xf borderId="9" fillId="6" fontId="12" numFmtId="0" xfId="0" applyAlignment="1" applyBorder="1" applyFont="1">
      <alignment shrinkToFit="0" vertical="top" wrapText="1"/>
    </xf>
    <xf borderId="9" fillId="6" fontId="10" numFmtId="0" xfId="0" applyAlignment="1" applyBorder="1" applyFont="1">
      <alignment horizontal="center" shrinkToFit="0" vertical="center" wrapText="0"/>
    </xf>
    <xf borderId="9" fillId="6" fontId="10" numFmtId="164" xfId="0" applyAlignment="1" applyBorder="1" applyFont="1" applyNumberFormat="1">
      <alignment horizontal="center" shrinkToFit="0" vertical="center" wrapText="0"/>
    </xf>
    <xf borderId="9" fillId="7" fontId="1" numFmtId="0" xfId="0" applyAlignment="1" applyBorder="1" applyFill="1" applyFont="1">
      <alignment horizontal="center" shrinkToFit="0" vertical="bottom" wrapText="0"/>
    </xf>
    <xf borderId="9" fillId="7" fontId="1" numFmtId="0" xfId="0" applyAlignment="1" applyBorder="1" applyFont="1">
      <alignment shrinkToFit="0" vertical="bottom" wrapText="0"/>
    </xf>
    <xf borderId="1" fillId="6" fontId="1" numFmtId="0" xfId="0" applyAlignment="1" applyBorder="1" applyFont="1">
      <alignment shrinkToFit="0" vertical="bottom" wrapText="0"/>
    </xf>
    <xf borderId="1" fillId="6" fontId="1" numFmtId="0" xfId="0" applyAlignment="1" applyBorder="1" applyFont="1">
      <alignment horizontal="right" shrinkToFit="0" vertical="bottom" wrapText="0"/>
    </xf>
    <xf borderId="10" fillId="7" fontId="1" numFmtId="0" xfId="0" applyAlignment="1" applyBorder="1" applyFont="1">
      <alignment horizontal="center" shrinkToFit="0" vertical="bottom" wrapText="0"/>
    </xf>
    <xf borderId="11" fillId="6" fontId="1" numFmtId="0" xfId="0" applyAlignment="1" applyBorder="1" applyFont="1">
      <alignment shrinkToFit="0" vertical="bottom" wrapText="0"/>
    </xf>
    <xf borderId="12" fillId="6" fontId="1" numFmtId="0" xfId="0" applyAlignment="1" applyBorder="1" applyFont="1">
      <alignment shrinkToFit="0" vertical="bottom" wrapText="0"/>
    </xf>
    <xf borderId="9" fillId="6" fontId="10" numFmtId="2" xfId="0" applyAlignment="1" applyBorder="1" applyFont="1" applyNumberFormat="1">
      <alignment horizontal="center" shrinkToFit="0" vertical="center" wrapText="1"/>
    </xf>
    <xf borderId="1" fillId="6" fontId="13" numFmtId="0" xfId="0" applyAlignment="1" applyBorder="1" applyFont="1">
      <alignment horizontal="right" shrinkToFit="0" vertical="bottom" wrapText="0"/>
    </xf>
    <xf borderId="1" fillId="6" fontId="14" numFmtId="0" xfId="0" applyAlignment="1" applyBorder="1" applyFont="1">
      <alignment shrinkToFit="0" vertical="bottom" wrapText="0"/>
    </xf>
    <xf borderId="0" fillId="0" fontId="14" numFmtId="0" xfId="0" applyAlignment="1" applyFont="1">
      <alignment shrinkToFit="0" vertical="bottom" wrapText="0"/>
    </xf>
    <xf borderId="13" fillId="6" fontId="1" numFmtId="0" xfId="0" applyAlignment="1" applyBorder="1" applyFont="1">
      <alignment shrinkToFit="0" vertical="bottom" wrapText="0"/>
    </xf>
    <xf borderId="14" fillId="6" fontId="1" numFmtId="0" xfId="0" applyAlignment="1" applyBorder="1" applyFont="1">
      <alignment horizontal="center" shrinkToFit="0" vertical="bottom" wrapText="0"/>
    </xf>
    <xf borderId="1" fillId="6" fontId="1" numFmtId="0" xfId="0" applyAlignment="1" applyBorder="1" applyFont="1">
      <alignment horizontal="center" shrinkToFit="0" vertical="bottom" wrapText="0"/>
    </xf>
    <xf borderId="9" fillId="6" fontId="11" numFmtId="0" xfId="0" applyAlignment="1" applyBorder="1" applyFont="1">
      <alignment horizontal="center" shrinkToFit="0" vertical="center" wrapText="0"/>
    </xf>
    <xf borderId="9" fillId="6" fontId="11" numFmtId="2" xfId="0" applyAlignment="1" applyBorder="1" applyFont="1" applyNumberFormat="1">
      <alignment horizontal="center" shrinkToFit="0" vertical="center" wrapText="1"/>
    </xf>
    <xf borderId="1" fillId="5" fontId="10" numFmtId="0" xfId="0" applyAlignment="1" applyBorder="1" applyFont="1">
      <alignment horizontal="center" shrinkToFit="0" vertical="center" wrapText="0"/>
    </xf>
    <xf borderId="9" fillId="6" fontId="10" numFmtId="2" xfId="0" applyAlignment="1" applyBorder="1" applyFont="1" applyNumberFormat="1">
      <alignment horizontal="right" shrinkToFit="0" vertical="center" wrapText="1"/>
    </xf>
    <xf borderId="9" fillId="6" fontId="1" numFmtId="0" xfId="0" applyAlignment="1" applyBorder="1" applyFont="1">
      <alignment shrinkToFit="0" vertical="bottom" wrapText="0"/>
    </xf>
    <xf borderId="9" fillId="8" fontId="1" numFmtId="0" xfId="0" applyAlignment="1" applyBorder="1" applyFill="1" applyFont="1">
      <alignment horizontal="center" shrinkToFit="0" vertical="bottom" wrapText="0"/>
    </xf>
    <xf borderId="9" fillId="8" fontId="1" numFmtId="0" xfId="0" applyAlignment="1" applyBorder="1" applyFont="1">
      <alignment shrinkToFit="0" vertical="bottom" wrapText="0"/>
    </xf>
    <xf borderId="10" fillId="8" fontId="1" numFmtId="0" xfId="0" applyAlignment="1" applyBorder="1" applyFont="1">
      <alignment horizontal="center" shrinkToFit="0" vertical="bottom" wrapText="0"/>
    </xf>
    <xf borderId="9" fillId="8" fontId="1" numFmtId="0" xfId="0" applyAlignment="1" applyBorder="1" applyFont="1">
      <alignment horizontal="center" readingOrder="0" shrinkToFit="0" vertical="bottom" wrapText="0"/>
    </xf>
    <xf borderId="9" fillId="8" fontId="1" numFmtId="0" xfId="0" applyAlignment="1" applyBorder="1" applyFont="1">
      <alignment readingOrder="0" shrinkToFit="0" vertical="bottom" wrapText="0"/>
    </xf>
    <xf borderId="1" fillId="2" fontId="1" numFmtId="2" xfId="0" applyAlignment="1" applyBorder="1" applyFont="1" applyNumberFormat="1">
      <alignment shrinkToFit="0" vertical="bottom" wrapText="0"/>
    </xf>
    <xf borderId="1" fillId="3" fontId="15" numFmtId="0" xfId="0" applyAlignment="1" applyBorder="1" applyFont="1">
      <alignment shrinkToFit="0" vertical="bottom" wrapText="0"/>
    </xf>
    <xf borderId="1" fillId="3" fontId="1" numFmtId="2" xfId="0" applyAlignment="1" applyBorder="1" applyFont="1" applyNumberFormat="1">
      <alignment shrinkToFit="0" vertical="bottom" wrapText="0"/>
    </xf>
    <xf borderId="0" fillId="0" fontId="1" numFmtId="2" xfId="0" applyAlignment="1" applyFont="1" applyNumberFormat="1">
      <alignment shrinkToFit="0" vertical="bottom" wrapText="0"/>
    </xf>
    <xf borderId="9" fillId="5" fontId="16" numFmtId="0" xfId="0" applyAlignment="1" applyBorder="1" applyFont="1">
      <alignment horizontal="center" shrinkToFit="0" vertical="top" wrapText="0"/>
    </xf>
    <xf borderId="9" fillId="5" fontId="17" numFmtId="0" xfId="0" applyAlignment="1" applyBorder="1" applyFont="1">
      <alignment horizontal="center" shrinkToFit="0" vertical="bottom" wrapText="0"/>
    </xf>
    <xf borderId="15" fillId="5" fontId="17" numFmtId="0" xfId="0" applyAlignment="1" applyBorder="1" applyFont="1">
      <alignment horizontal="center" shrinkToFit="0" vertical="bottom" wrapText="0"/>
    </xf>
    <xf borderId="10" fillId="9" fontId="17" numFmtId="0" xfId="0" applyAlignment="1" applyBorder="1" applyFill="1" applyFont="1">
      <alignment horizontal="center" shrinkToFit="0" vertical="bottom" wrapText="0"/>
    </xf>
    <xf borderId="9" fillId="10" fontId="17" numFmtId="0" xfId="0" applyAlignment="1" applyBorder="1" applyFill="1" applyFont="1">
      <alignment horizontal="center" shrinkToFit="0" vertical="bottom" wrapText="0"/>
    </xf>
    <xf borderId="9" fillId="11" fontId="17" numFmtId="0" xfId="0" applyAlignment="1" applyBorder="1" applyFill="1" applyFont="1">
      <alignment horizontal="center" shrinkToFit="0" vertical="bottom" wrapText="0"/>
    </xf>
    <xf borderId="9" fillId="12" fontId="17" numFmtId="0" xfId="0" applyAlignment="1" applyBorder="1" applyFill="1" applyFont="1">
      <alignment horizontal="center" shrinkToFit="0" vertical="bottom" wrapText="0"/>
    </xf>
    <xf borderId="9" fillId="13" fontId="17" numFmtId="0" xfId="0" applyAlignment="1" applyBorder="1" applyFill="1" applyFont="1">
      <alignment horizontal="center" shrinkToFit="0" vertical="bottom" wrapText="0"/>
    </xf>
    <xf borderId="9" fillId="14" fontId="17" numFmtId="0" xfId="0" applyAlignment="1" applyBorder="1" applyFill="1" applyFont="1">
      <alignment horizontal="center" shrinkToFit="0" vertical="bottom" wrapText="0"/>
    </xf>
    <xf borderId="9" fillId="15" fontId="17" numFmtId="0" xfId="0" applyAlignment="1" applyBorder="1" applyFill="1" applyFont="1">
      <alignment horizontal="center" shrinkToFit="0" vertical="bottom" wrapText="0"/>
    </xf>
    <xf borderId="9" fillId="16" fontId="17" numFmtId="0" xfId="0" applyAlignment="1" applyBorder="1" applyFill="1" applyFont="1">
      <alignment horizontal="center" shrinkToFit="0" vertical="bottom" wrapText="0"/>
    </xf>
    <xf borderId="9" fillId="7" fontId="17" numFmtId="0" xfId="0" applyAlignment="1" applyBorder="1" applyFont="1">
      <alignment horizontal="center" shrinkToFit="0" vertical="bottom" wrapText="0"/>
    </xf>
    <xf borderId="9" fillId="17" fontId="17" numFmtId="0" xfId="0" applyAlignment="1" applyBorder="1" applyFill="1" applyFont="1">
      <alignment horizontal="center" shrinkToFit="0" vertical="bottom" wrapText="0"/>
    </xf>
    <xf borderId="0" fillId="0" fontId="17" numFmtId="0" xfId="0" applyAlignment="1" applyFont="1">
      <alignment shrinkToFit="0" vertical="bottom" wrapText="0"/>
    </xf>
    <xf borderId="9" fillId="9" fontId="17" numFmtId="0" xfId="0" applyAlignment="1" applyBorder="1" applyFont="1">
      <alignment shrinkToFit="0" vertical="bottom" wrapText="0"/>
    </xf>
    <xf borderId="9" fillId="7" fontId="1" numFmtId="2" xfId="0" applyAlignment="1" applyBorder="1" applyFont="1" applyNumberFormat="1">
      <alignment shrinkToFit="0" vertical="bottom" wrapText="0"/>
    </xf>
    <xf borderId="9" fillId="17" fontId="1" numFmtId="2" xfId="0" applyAlignment="1" applyBorder="1" applyFont="1" applyNumberFormat="1">
      <alignment shrinkToFit="0" vertical="bottom" wrapText="0"/>
    </xf>
    <xf borderId="9" fillId="10" fontId="1" numFmtId="2" xfId="0" applyAlignment="1" applyBorder="1" applyFont="1" applyNumberFormat="1">
      <alignment shrinkToFit="0" vertical="bottom" wrapText="0"/>
    </xf>
    <xf borderId="9" fillId="11" fontId="1" numFmtId="2" xfId="0" applyAlignment="1" applyBorder="1" applyFont="1" applyNumberFormat="1">
      <alignment shrinkToFit="0" vertical="bottom" wrapText="0"/>
    </xf>
    <xf borderId="1" fillId="3" fontId="9" numFmtId="0" xfId="0" applyAlignment="1" applyBorder="1" applyFont="1">
      <alignment shrinkToFit="0" vertical="bottom" wrapText="0"/>
    </xf>
    <xf borderId="9" fillId="5" fontId="18" numFmtId="0" xfId="0" applyAlignment="1" applyBorder="1" applyFont="1">
      <alignment horizontal="center" shrinkToFit="0" vertical="center" wrapText="0"/>
    </xf>
    <xf borderId="9" fillId="5" fontId="18" numFmtId="164" xfId="0" applyAlignment="1" applyBorder="1" applyFont="1" applyNumberFormat="1">
      <alignment horizontal="center" shrinkToFit="0" vertical="center" wrapText="0"/>
    </xf>
    <xf borderId="9" fillId="5" fontId="17" numFmtId="0" xfId="0" applyAlignment="1" applyBorder="1" applyFont="1">
      <alignment shrinkToFit="0" vertical="bottom" wrapText="0"/>
    </xf>
    <xf borderId="15" fillId="5" fontId="17" numFmtId="0" xfId="0" applyAlignment="1" applyBorder="1" applyFont="1">
      <alignment shrinkToFit="0" vertical="bottom" wrapText="0"/>
    </xf>
    <xf borderId="10" fillId="9" fontId="17" numFmtId="0" xfId="0" applyAlignment="1" applyBorder="1" applyFont="1">
      <alignment shrinkToFit="0" vertical="bottom" wrapText="0"/>
    </xf>
    <xf borderId="9" fillId="10" fontId="17" numFmtId="0" xfId="0" applyAlignment="1" applyBorder="1" applyFont="1">
      <alignment shrinkToFit="0" vertical="bottom" wrapText="0"/>
    </xf>
    <xf borderId="9" fillId="11" fontId="17" numFmtId="0" xfId="0" applyAlignment="1" applyBorder="1" applyFont="1">
      <alignment shrinkToFit="0" vertical="bottom" wrapText="0"/>
    </xf>
    <xf borderId="9" fillId="12" fontId="17" numFmtId="0" xfId="0" applyAlignment="1" applyBorder="1" applyFont="1">
      <alignment shrinkToFit="0" vertical="bottom" wrapText="0"/>
    </xf>
    <xf borderId="9" fillId="13" fontId="17" numFmtId="0" xfId="0" applyAlignment="1" applyBorder="1" applyFont="1">
      <alignment shrinkToFit="0" vertical="bottom" wrapText="0"/>
    </xf>
    <xf borderId="9" fillId="14" fontId="17" numFmtId="0" xfId="0" applyAlignment="1" applyBorder="1" applyFont="1">
      <alignment shrinkToFit="0" vertical="bottom" wrapText="0"/>
    </xf>
    <xf borderId="9" fillId="15" fontId="17" numFmtId="0" xfId="0" applyAlignment="1" applyBorder="1" applyFont="1">
      <alignment shrinkToFit="0" vertical="bottom" wrapText="0"/>
    </xf>
    <xf borderId="9" fillId="16" fontId="17" numFmtId="0" xfId="0" applyAlignment="1" applyBorder="1" applyFont="1">
      <alignment shrinkToFit="0" vertical="bottom" wrapText="0"/>
    </xf>
    <xf borderId="9" fillId="7" fontId="17" numFmtId="0" xfId="0" applyAlignment="1" applyBorder="1" applyFont="1">
      <alignment shrinkToFit="0" vertical="bottom" wrapText="0"/>
    </xf>
    <xf borderId="9" fillId="17" fontId="17" numFmtId="0" xfId="0" applyAlignment="1" applyBorder="1" applyFont="1">
      <alignment shrinkToFit="0" vertical="bottom" wrapText="0"/>
    </xf>
    <xf borderId="16" fillId="0" fontId="1" numFmtId="2" xfId="0" applyAlignment="1" applyBorder="1" applyFont="1" applyNumberFormat="1">
      <alignment horizontal="center" shrinkToFit="0" vertical="bottom" wrapText="0"/>
    </xf>
    <xf borderId="17" fillId="16" fontId="1" numFmtId="2" xfId="0" applyAlignment="1" applyBorder="1" applyFont="1" applyNumberFormat="1">
      <alignment horizontal="center" shrinkToFit="0" vertical="bottom" wrapText="0"/>
    </xf>
    <xf borderId="18" fillId="0" fontId="3" numFmtId="0" xfId="0" applyBorder="1" applyFont="1"/>
    <xf borderId="19" fillId="8" fontId="1" numFmtId="2" xfId="0" applyAlignment="1" applyBorder="1" applyFont="1" applyNumberFormat="1">
      <alignment horizontal="center" shrinkToFit="0" vertical="bottom" wrapText="0"/>
    </xf>
    <xf borderId="19" fillId="18" fontId="12" numFmtId="2" xfId="0" applyAlignment="1" applyBorder="1" applyFill="1" applyFont="1" applyNumberFormat="1">
      <alignment horizontal="center" shrinkToFit="0" vertical="bottom" wrapText="0"/>
    </xf>
    <xf borderId="20" fillId="0" fontId="3" numFmtId="0" xfId="0" applyBorder="1" applyFont="1"/>
    <xf borderId="17" fillId="19" fontId="12" numFmtId="2" xfId="0" applyAlignment="1" applyBorder="1" applyFill="1" applyFont="1" applyNumberFormat="1">
      <alignment horizontal="center" shrinkToFit="0" vertical="bottom" wrapText="0"/>
    </xf>
    <xf borderId="9" fillId="5" fontId="1" numFmtId="2" xfId="0" applyAlignment="1" applyBorder="1" applyFont="1" applyNumberFormat="1">
      <alignment shrinkToFit="0" vertical="bottom" wrapText="0"/>
    </xf>
    <xf borderId="21" fillId="0" fontId="1" numFmtId="2" xfId="0" applyAlignment="1" applyBorder="1" applyFont="1" applyNumberFormat="1">
      <alignment shrinkToFit="0" vertical="bottom" wrapText="0"/>
    </xf>
    <xf borderId="22" fillId="16" fontId="1" numFmtId="2" xfId="0" applyAlignment="1" applyBorder="1" applyFont="1" applyNumberFormat="1">
      <alignment horizontal="center" shrinkToFit="0" vertical="bottom" wrapText="0"/>
    </xf>
    <xf borderId="23" fillId="16" fontId="1" numFmtId="2" xfId="0" applyAlignment="1" applyBorder="1" applyFont="1" applyNumberFormat="1">
      <alignment horizontal="center" shrinkToFit="0" vertical="bottom" wrapText="0"/>
    </xf>
    <xf borderId="24" fillId="8" fontId="1" numFmtId="2" xfId="0" applyAlignment="1" applyBorder="1" applyFont="1" applyNumberFormat="1">
      <alignment horizontal="center" shrinkToFit="0" vertical="bottom" wrapText="0"/>
    </xf>
    <xf borderId="23" fillId="8" fontId="1" numFmtId="2" xfId="0" applyAlignment="1" applyBorder="1" applyFont="1" applyNumberFormat="1">
      <alignment horizontal="center" shrinkToFit="0" vertical="bottom" wrapText="0"/>
    </xf>
    <xf borderId="24" fillId="18" fontId="1" numFmtId="2" xfId="0" applyAlignment="1" applyBorder="1" applyFont="1" applyNumberFormat="1">
      <alignment horizontal="center" shrinkToFit="0" vertical="bottom" wrapText="0"/>
    </xf>
    <xf borderId="25" fillId="18" fontId="1" numFmtId="2" xfId="0" applyAlignment="1" applyBorder="1" applyFont="1" applyNumberFormat="1">
      <alignment horizontal="center" shrinkToFit="0" vertical="bottom" wrapText="0"/>
    </xf>
    <xf borderId="26" fillId="18" fontId="1" numFmtId="2" xfId="0" applyAlignment="1" applyBorder="1" applyFont="1" applyNumberFormat="1">
      <alignment horizontal="center" shrinkToFit="0" vertical="bottom" wrapText="0"/>
    </xf>
    <xf borderId="22" fillId="19" fontId="1" numFmtId="2" xfId="0" applyAlignment="1" applyBorder="1" applyFont="1" applyNumberFormat="1">
      <alignment horizontal="center" shrinkToFit="0" vertical="bottom" wrapText="0"/>
    </xf>
    <xf borderId="25" fillId="19" fontId="1" numFmtId="2" xfId="0" applyAlignment="1" applyBorder="1" applyFont="1" applyNumberFormat="1">
      <alignment horizontal="center" shrinkToFit="0" vertical="bottom" wrapText="0"/>
    </xf>
    <xf borderId="26" fillId="19" fontId="1" numFmtId="2" xfId="0" applyAlignment="1" applyBorder="1" applyFont="1" applyNumberFormat="1">
      <alignment horizontal="center" shrinkToFit="0" vertical="bottom" wrapText="0"/>
    </xf>
    <xf borderId="27" fillId="6" fontId="12" numFmtId="2" xfId="0" applyAlignment="1" applyBorder="1" applyFont="1" applyNumberFormat="1">
      <alignment shrinkToFit="0" vertical="bottom" wrapText="0"/>
    </xf>
    <xf borderId="28" fillId="16" fontId="12" numFmtId="2" xfId="0" applyAlignment="1" applyBorder="1" applyFont="1" applyNumberFormat="1">
      <alignment horizontal="center" shrinkToFit="0" vertical="bottom" wrapText="0"/>
    </xf>
    <xf borderId="29" fillId="16" fontId="12" numFmtId="2" xfId="0" applyAlignment="1" applyBorder="1" applyFont="1" applyNumberFormat="1">
      <alignment horizontal="center" shrinkToFit="0" vertical="bottom" wrapText="0"/>
    </xf>
    <xf borderId="30" fillId="8" fontId="12" numFmtId="2" xfId="0" applyAlignment="1" applyBorder="1" applyFont="1" applyNumberFormat="1">
      <alignment horizontal="center" shrinkToFit="0" vertical="bottom" wrapText="0"/>
    </xf>
    <xf borderId="29" fillId="8" fontId="12" numFmtId="2" xfId="0" applyAlignment="1" applyBorder="1" applyFont="1" applyNumberFormat="1">
      <alignment horizontal="center" shrinkToFit="0" vertical="bottom" wrapText="0"/>
    </xf>
    <xf borderId="30" fillId="18" fontId="12" numFmtId="2" xfId="0" applyAlignment="1" applyBorder="1" applyFont="1" applyNumberFormat="1">
      <alignment horizontal="center" shrinkToFit="0" vertical="bottom" wrapText="0"/>
    </xf>
    <xf borderId="31" fillId="18" fontId="1" numFmtId="2" xfId="0" applyAlignment="1" applyBorder="1" applyFont="1" applyNumberFormat="1">
      <alignment horizontal="center" shrinkToFit="0" vertical="bottom" wrapText="0"/>
    </xf>
    <xf borderId="30" fillId="19" fontId="12" numFmtId="2" xfId="0" applyAlignment="1" applyBorder="1" applyFont="1" applyNumberFormat="1">
      <alignment horizontal="center" shrinkToFit="0" vertical="bottom" wrapText="0"/>
    </xf>
    <xf borderId="31" fillId="19" fontId="1" numFmtId="2" xfId="0" applyAlignment="1" applyBorder="1" applyFont="1" applyNumberFormat="1">
      <alignment horizontal="center" shrinkToFit="0" vertical="bottom" wrapText="0"/>
    </xf>
    <xf borderId="32" fillId="19" fontId="1" numFmtId="2" xfId="0" applyAlignment="1" applyBorder="1" applyFont="1" applyNumberFormat="1">
      <alignment horizontal="center" shrinkToFit="0" vertical="bottom" wrapText="0"/>
    </xf>
    <xf borderId="33" fillId="6" fontId="1" numFmtId="2" xfId="0" applyAlignment="1" applyBorder="1" applyFont="1" applyNumberFormat="1">
      <alignment shrinkToFit="0" vertical="bottom" wrapText="0"/>
    </xf>
    <xf borderId="10" fillId="16" fontId="1" numFmtId="2" xfId="0" applyAlignment="1" applyBorder="1" applyFont="1" applyNumberFormat="1">
      <alignment horizontal="center" shrinkToFit="0" vertical="bottom" wrapText="0"/>
    </xf>
    <xf borderId="34" fillId="16" fontId="1" numFmtId="2" xfId="0" applyAlignment="1" applyBorder="1" applyFont="1" applyNumberFormat="1">
      <alignment horizontal="center" shrinkToFit="0" vertical="bottom" wrapText="0"/>
    </xf>
    <xf borderId="30" fillId="8" fontId="1" numFmtId="2" xfId="0" applyAlignment="1" applyBorder="1" applyFont="1" applyNumberFormat="1">
      <alignment horizontal="center" shrinkToFit="0" vertical="bottom" wrapText="0"/>
    </xf>
    <xf borderId="29" fillId="8" fontId="1" numFmtId="2" xfId="0" applyAlignment="1" applyBorder="1" applyFont="1" applyNumberFormat="1">
      <alignment horizontal="center" shrinkToFit="0" vertical="bottom" wrapText="0"/>
    </xf>
    <xf borderId="30" fillId="18" fontId="1" numFmtId="2" xfId="0" applyAlignment="1" applyBorder="1" applyFont="1" applyNumberFormat="1">
      <alignment horizontal="center" shrinkToFit="0" vertical="bottom" wrapText="0"/>
    </xf>
    <xf borderId="30" fillId="19" fontId="1" numFmtId="2" xfId="0" applyAlignment="1" applyBorder="1" applyFont="1" applyNumberFormat="1">
      <alignment horizontal="center" shrinkToFit="0" vertical="bottom" wrapText="0"/>
    </xf>
    <xf borderId="29" fillId="19" fontId="1" numFmtId="2" xfId="0" applyAlignment="1" applyBorder="1" applyFont="1" applyNumberFormat="1">
      <alignment horizontal="center" shrinkToFit="0" vertical="bottom" wrapText="0"/>
    </xf>
    <xf borderId="35" fillId="6" fontId="1" numFmtId="2" xfId="0" applyAlignment="1" applyBorder="1" applyFont="1" applyNumberFormat="1">
      <alignment shrinkToFit="0" vertical="bottom" wrapText="0"/>
    </xf>
    <xf borderId="36" fillId="16" fontId="1" numFmtId="2" xfId="0" applyAlignment="1" applyBorder="1" applyFont="1" applyNumberFormat="1">
      <alignment horizontal="center" shrinkToFit="0" vertical="bottom" wrapText="0"/>
    </xf>
    <xf borderId="37" fillId="16" fontId="1" numFmtId="2" xfId="0" applyAlignment="1" applyBorder="1" applyFont="1" applyNumberFormat="1">
      <alignment horizontal="center" shrinkToFit="0" vertical="bottom" wrapText="0"/>
    </xf>
    <xf borderId="38" fillId="8" fontId="1" numFmtId="2" xfId="0" applyAlignment="1" applyBorder="1" applyFont="1" applyNumberFormat="1">
      <alignment horizontal="center" shrinkToFit="0" vertical="bottom" wrapText="0"/>
    </xf>
    <xf borderId="37" fillId="8" fontId="1" numFmtId="2" xfId="0" applyAlignment="1" applyBorder="1" applyFont="1" applyNumberFormat="1">
      <alignment horizontal="center" shrinkToFit="0" vertical="bottom" wrapText="0"/>
    </xf>
    <xf borderId="38" fillId="18" fontId="1" numFmtId="2" xfId="0" applyAlignment="1" applyBorder="1" applyFont="1" applyNumberFormat="1">
      <alignment horizontal="center" shrinkToFit="0" vertical="bottom" wrapText="0"/>
    </xf>
    <xf borderId="39" fillId="18" fontId="1" numFmtId="2" xfId="0" applyAlignment="1" applyBorder="1" applyFont="1" applyNumberFormat="1">
      <alignment horizontal="center" shrinkToFit="0" vertical="bottom" wrapText="0"/>
    </xf>
    <xf borderId="38" fillId="19" fontId="1" numFmtId="2" xfId="0" applyAlignment="1" applyBorder="1" applyFont="1" applyNumberFormat="1">
      <alignment horizontal="center" shrinkToFit="0" vertical="bottom" wrapText="0"/>
    </xf>
    <xf borderId="39" fillId="19" fontId="1" numFmtId="2" xfId="0" applyAlignment="1" applyBorder="1" applyFont="1" applyNumberFormat="1">
      <alignment horizontal="center" shrinkToFit="0" vertical="bottom" wrapText="0"/>
    </xf>
    <xf borderId="37" fillId="19" fontId="1" numFmtId="2" xfId="0" applyAlignment="1" applyBorder="1" applyFont="1" applyNumberFormat="1">
      <alignment horizontal="center" shrinkToFit="0" vertical="bottom" wrapText="0"/>
    </xf>
    <xf borderId="31" fillId="18" fontId="12" numFmtId="2" xfId="0" applyAlignment="1" applyBorder="1" applyFont="1" applyNumberFormat="1">
      <alignment horizontal="center" shrinkToFit="0" vertical="bottom" wrapText="0"/>
    </xf>
    <xf borderId="29" fillId="18" fontId="12" numFmtId="2" xfId="0" applyAlignment="1" applyBorder="1" applyFont="1" applyNumberFormat="1">
      <alignment horizontal="center" shrinkToFit="0" vertical="bottom" wrapText="0"/>
    </xf>
    <xf borderId="31" fillId="19" fontId="12" numFmtId="2" xfId="0" applyAlignment="1" applyBorder="1" applyFont="1" applyNumberFormat="1">
      <alignment horizontal="center" shrinkToFit="0" vertical="bottom" wrapText="0"/>
    </xf>
    <xf borderId="40" fillId="19" fontId="12" numFmtId="2" xfId="0" applyAlignment="1" applyBorder="1" applyFont="1" applyNumberFormat="1">
      <alignment horizontal="center" shrinkToFit="0" vertical="bottom" wrapText="0"/>
    </xf>
    <xf borderId="9" fillId="18" fontId="1" numFmtId="2" xfId="0" applyAlignment="1" applyBorder="1" applyFont="1" applyNumberFormat="1">
      <alignment horizontal="center" shrinkToFit="0" vertical="bottom" wrapText="0"/>
    </xf>
    <xf borderId="34" fillId="18" fontId="1" numFmtId="2" xfId="0" applyAlignment="1" applyBorder="1" applyFont="1" applyNumberFormat="1">
      <alignment horizontal="center" shrinkToFit="0" vertical="bottom" wrapText="0"/>
    </xf>
    <xf borderId="29" fillId="19" fontId="12" numFmtId="2" xfId="0" applyAlignment="1" applyBorder="1" applyFont="1" applyNumberFormat="1">
      <alignment horizontal="center" shrinkToFit="0" vertical="bottom" wrapText="0"/>
    </xf>
    <xf borderId="27" fillId="6" fontId="19" numFmtId="2" xfId="0" applyAlignment="1" applyBorder="1" applyFont="1" applyNumberFormat="1">
      <alignment shrinkToFit="0" vertical="bottom" wrapText="0"/>
    </xf>
    <xf borderId="1" fillId="2" fontId="14" numFmtId="2" xfId="0" applyAlignment="1" applyBorder="1" applyFont="1" applyNumberFormat="1">
      <alignment shrinkToFit="0" vertical="bottom" wrapText="0"/>
    </xf>
    <xf borderId="41" fillId="18" fontId="20" numFmtId="2" xfId="0" applyAlignment="1" applyBorder="1" applyFont="1" applyNumberFormat="1">
      <alignment horizontal="center" shrinkToFit="0" vertical="bottom" wrapText="0"/>
    </xf>
    <xf borderId="42" fillId="18" fontId="20" numFmtId="2" xfId="0" applyAlignment="1" applyBorder="1" applyFont="1" applyNumberFormat="1">
      <alignment shrinkToFit="0" vertical="bottom" wrapText="0"/>
    </xf>
    <xf borderId="43" fillId="18" fontId="20" numFmtId="2" xfId="0" applyAlignment="1" applyBorder="1" applyFont="1" applyNumberFormat="1">
      <alignment shrinkToFit="0" vertical="bottom" wrapText="0"/>
    </xf>
    <xf borderId="1" fillId="2" fontId="21" numFmtId="2" xfId="0" applyAlignment="1" applyBorder="1" applyFont="1" applyNumberFormat="1">
      <alignment shrinkToFit="0" vertical="bottom" wrapText="0"/>
    </xf>
    <xf borderId="44" fillId="18" fontId="20" numFmtId="2" xfId="0" applyAlignment="1" applyBorder="1" applyFont="1" applyNumberFormat="1">
      <alignment shrinkToFit="0" vertical="bottom" wrapText="0"/>
    </xf>
    <xf borderId="1" fillId="18" fontId="20" numFmtId="2" xfId="0" applyAlignment="1" applyBorder="1" applyFont="1" applyNumberFormat="1">
      <alignment shrinkToFit="0" vertical="bottom" wrapText="0"/>
    </xf>
    <xf borderId="45" fillId="18" fontId="20" numFmtId="2" xfId="0" applyAlignment="1" applyBorder="1" applyFont="1" applyNumberFormat="1">
      <alignment shrinkToFit="0" vertical="bottom" wrapText="0"/>
    </xf>
    <xf borderId="46" fillId="18" fontId="22" numFmtId="2" xfId="0" applyAlignment="1" applyBorder="1" applyFont="1" applyNumberFormat="1">
      <alignment shrinkToFit="0" vertical="bottom" wrapText="0"/>
    </xf>
    <xf borderId="47" fillId="18" fontId="20" numFmtId="2" xfId="0" applyAlignment="1" applyBorder="1" applyFont="1" applyNumberFormat="1">
      <alignment shrinkToFit="0" vertical="bottom" wrapText="0"/>
    </xf>
    <xf borderId="48" fillId="18" fontId="20" numFmtId="2" xfId="0" applyAlignment="1" applyBorder="1" applyFont="1" applyNumberFormat="1">
      <alignment shrinkToFit="0" vertical="bottom" wrapText="0"/>
    </xf>
    <xf borderId="1" fillId="2" fontId="22" numFmtId="2" xfId="0" applyAlignment="1" applyBorder="1" applyFont="1" applyNumberFormat="1">
      <alignment shrinkToFit="0" vertical="bottom" wrapText="0"/>
    </xf>
    <xf borderId="1" fillId="2" fontId="20" numFmtId="2" xfId="0" applyAlignment="1" applyBorder="1" applyFont="1" applyNumberFormat="1">
      <alignment shrinkToFit="0" vertical="bottom" wrapText="0"/>
    </xf>
    <xf borderId="1" fillId="6" fontId="1" numFmtId="2" xfId="0" applyAlignment="1" applyBorder="1" applyFont="1" applyNumberFormat="1">
      <alignment shrinkToFit="0" vertical="bottom" wrapText="0"/>
    </xf>
    <xf borderId="9" fillId="5" fontId="18" numFmtId="2" xfId="0" applyAlignment="1" applyBorder="1" applyFont="1" applyNumberFormat="1">
      <alignment horizontal="center" shrinkToFit="0" vertical="center" wrapText="1"/>
    </xf>
    <xf borderId="1" fillId="6" fontId="17" numFmtId="0" xfId="0" applyAlignment="1" applyBorder="1" applyFont="1">
      <alignment shrinkToFit="0" vertical="bottom" wrapText="0"/>
    </xf>
    <xf borderId="9" fillId="0" fontId="17" numFmtId="0" xfId="0" applyAlignment="1" applyBorder="1" applyFont="1">
      <alignment shrinkToFit="0" vertical="bottom" wrapText="0"/>
    </xf>
    <xf borderId="9" fillId="9" fontId="17" numFmtId="0" xfId="0" applyAlignment="1" applyBorder="1" applyFont="1">
      <alignment horizontal="center" shrinkToFit="0" vertical="bottom" wrapText="0"/>
    </xf>
    <xf borderId="49" fillId="5" fontId="17" numFmtId="0" xfId="0" applyAlignment="1" applyBorder="1" applyFont="1">
      <alignment horizontal="center" shrinkToFit="0" vertical="bottom" wrapText="0"/>
    </xf>
    <xf borderId="9" fillId="20" fontId="18" numFmtId="0" xfId="0" applyAlignment="1" applyBorder="1" applyFill="1" applyFont="1">
      <alignment shrinkToFit="0" vertical="top" wrapText="1"/>
    </xf>
    <xf borderId="9" fillId="21" fontId="17" numFmtId="0" xfId="0" applyAlignment="1" applyBorder="1" applyFill="1" applyFont="1">
      <alignment horizontal="center" shrinkToFit="0" vertical="bottom" wrapText="0"/>
    </xf>
    <xf borderId="9" fillId="22" fontId="17" numFmtId="0" xfId="0" applyAlignment="1" applyBorder="1" applyFill="1" applyFont="1">
      <alignment horizontal="center" shrinkToFit="0" vertical="bottom" wrapText="0"/>
    </xf>
    <xf borderId="9" fillId="23" fontId="1" numFmtId="0" xfId="0" applyAlignment="1" applyBorder="1" applyFill="1" applyFont="1">
      <alignment shrinkToFit="0" vertical="bottom" wrapText="0"/>
    </xf>
    <xf borderId="9" fillId="24" fontId="1" numFmtId="0" xfId="0" applyAlignment="1" applyBorder="1" applyFill="1" applyFont="1">
      <alignment shrinkToFit="0" vertical="bottom" wrapText="0"/>
    </xf>
    <xf borderId="9" fillId="20" fontId="1" numFmtId="0" xfId="0" applyAlignment="1" applyBorder="1" applyFont="1">
      <alignment shrinkToFit="0" vertical="bottom" wrapText="0"/>
    </xf>
    <xf borderId="9" fillId="21" fontId="1" numFmtId="0" xfId="0" applyAlignment="1" applyBorder="1" applyFont="1">
      <alignment shrinkToFit="0" vertical="bottom" wrapText="0"/>
    </xf>
    <xf borderId="9" fillId="22" fontId="1" numFmtId="0" xfId="0" applyAlignment="1" applyBorder="1" applyFont="1">
      <alignment shrinkToFit="0" vertical="bottom" wrapText="0"/>
    </xf>
    <xf borderId="49" fillId="5" fontId="17" numFmtId="0" xfId="0" applyAlignment="1" applyBorder="1" applyFont="1">
      <alignment shrinkToFit="0" vertical="bottom" wrapText="0"/>
    </xf>
    <xf borderId="9" fillId="20" fontId="18" numFmtId="0" xfId="0" applyAlignment="1" applyBorder="1" applyFont="1">
      <alignment shrinkToFit="0" vertical="bottom" wrapText="0"/>
    </xf>
    <xf borderId="9" fillId="21" fontId="18" numFmtId="0" xfId="0" applyAlignment="1" applyBorder="1" applyFont="1">
      <alignment shrinkToFit="0" vertical="bottom" wrapText="0"/>
    </xf>
    <xf borderId="9" fillId="22" fontId="18" numFmtId="0" xfId="0" applyAlignment="1" applyBorder="1" applyFont="1">
      <alignment shrinkToFit="0" vertical="bottom" wrapText="0"/>
    </xf>
    <xf borderId="9" fillId="23" fontId="18" numFmtId="0" xfId="0" applyAlignment="1" applyBorder="1" applyFont="1">
      <alignment shrinkToFit="0" vertical="bottom" wrapText="0"/>
    </xf>
    <xf borderId="9" fillId="24" fontId="18" numFmtId="0" xfId="0" applyAlignment="1" applyBorder="1" applyFont="1">
      <alignment shrinkToFit="0" vertical="bottom" wrapText="0"/>
    </xf>
    <xf borderId="19" fillId="18" fontId="1" numFmtId="2" xfId="0" applyAlignment="1" applyBorder="1" applyFont="1" applyNumberFormat="1">
      <alignment horizontal="center" shrinkToFit="0" vertical="bottom" wrapText="0"/>
    </xf>
    <xf borderId="17" fillId="19" fontId="1" numFmtId="2" xfId="0" applyAlignment="1" applyBorder="1" applyFont="1" applyNumberFormat="1">
      <alignment horizontal="center" shrinkToFit="0" vertical="bottom" wrapText="0"/>
    </xf>
    <xf borderId="30" fillId="16" fontId="12" numFmtId="2" xfId="0" applyAlignment="1" applyBorder="1" applyFont="1" applyNumberFormat="1">
      <alignment horizontal="center" shrinkToFit="0" vertical="bottom" wrapText="0"/>
    </xf>
    <xf borderId="28" fillId="8" fontId="12" numFmtId="2" xfId="0" applyAlignment="1" applyBorder="1" applyFont="1" applyNumberFormat="1">
      <alignment horizontal="center" shrinkToFit="0" vertical="bottom" wrapText="0"/>
    </xf>
    <xf borderId="50" fillId="18" fontId="12" numFmtId="2" xfId="0" applyAlignment="1" applyBorder="1" applyFont="1" applyNumberFormat="1">
      <alignment horizontal="center" shrinkToFit="0" vertical="bottom" wrapText="0"/>
    </xf>
    <xf borderId="28" fillId="18" fontId="12" numFmtId="2" xfId="0" applyAlignment="1" applyBorder="1" applyFont="1" applyNumberFormat="1">
      <alignment horizontal="center" shrinkToFit="0" vertical="bottom" wrapText="0"/>
    </xf>
    <xf borderId="50" fillId="19" fontId="12" numFmtId="2" xfId="0" applyAlignment="1" applyBorder="1" applyFont="1" applyNumberFormat="1">
      <alignment horizontal="center" shrinkToFit="0" vertical="bottom" wrapText="0"/>
    </xf>
    <xf borderId="28" fillId="19" fontId="12" numFmtId="2" xfId="0" applyAlignment="1" applyBorder="1" applyFont="1" applyNumberFormat="1">
      <alignment horizontal="center" shrinkToFit="0" vertical="bottom" wrapText="0"/>
    </xf>
    <xf borderId="38" fillId="16" fontId="1" numFmtId="2" xfId="0" applyAlignment="1" applyBorder="1" applyFont="1" applyNumberFormat="1">
      <alignment horizontal="center" shrinkToFit="0" vertical="bottom" wrapText="0"/>
    </xf>
    <xf borderId="36" fillId="18" fontId="1" numFmtId="2" xfId="0" applyAlignment="1" applyBorder="1" applyFont="1" applyNumberFormat="1">
      <alignment horizontal="center" shrinkToFit="0" vertical="bottom" wrapText="0"/>
    </xf>
    <xf borderId="37" fillId="18" fontId="1" numFmtId="2" xfId="0" applyAlignment="1" applyBorder="1" applyFont="1" applyNumberFormat="1">
      <alignment horizontal="center" shrinkToFit="0" vertical="bottom" wrapText="0"/>
    </xf>
    <xf borderId="36" fillId="19" fontId="1" numFmtId="2" xfId="0" applyAlignment="1" applyBorder="1" applyFont="1" applyNumberFormat="1">
      <alignment horizontal="center" shrinkToFit="0" vertical="bottom" wrapText="0"/>
    </xf>
    <xf borderId="51" fillId="16" fontId="1" numFmtId="2" xfId="0" applyAlignment="1" applyBorder="1" applyFont="1" applyNumberFormat="1">
      <alignment horizontal="center" shrinkToFit="0" vertical="bottom" wrapText="0"/>
    </xf>
    <xf borderId="28" fillId="8" fontId="1" numFmtId="2" xfId="0" applyAlignment="1" applyBorder="1" applyFont="1" applyNumberFormat="1">
      <alignment horizontal="center" shrinkToFit="0" vertical="bottom" wrapText="0"/>
    </xf>
    <xf borderId="28" fillId="18" fontId="1" numFmtId="2" xfId="0" applyAlignment="1" applyBorder="1" applyFont="1" applyNumberFormat="1">
      <alignment horizontal="center" shrinkToFit="0" vertical="bottom" wrapText="0"/>
    </xf>
    <xf borderId="29" fillId="18" fontId="1" numFmtId="2" xfId="0" applyAlignment="1" applyBorder="1" applyFont="1" applyNumberFormat="1">
      <alignment horizontal="center" shrinkToFit="0" vertical="bottom" wrapText="0"/>
    </xf>
    <xf borderId="28" fillId="19" fontId="1" numFmtId="2" xfId="0" applyAlignment="1" applyBorder="1" applyFont="1" applyNumberFormat="1">
      <alignment horizontal="center" shrinkToFit="0" vertical="bottom" wrapText="0"/>
    </xf>
    <xf borderId="52" fillId="0" fontId="12" numFmtId="2" xfId="0" applyAlignment="1" applyBorder="1" applyFont="1" applyNumberFormat="1">
      <alignment shrinkToFit="0" vertical="bottom" wrapText="0"/>
    </xf>
    <xf borderId="33" fillId="0" fontId="1" numFmtId="2" xfId="0" applyAlignment="1" applyBorder="1" applyFont="1" applyNumberFormat="1">
      <alignment shrinkToFit="0" vertical="bottom" wrapText="0"/>
    </xf>
    <xf borderId="53" fillId="0" fontId="1" numFmtId="2" xfId="0" applyAlignment="1" applyBorder="1" applyFont="1" applyNumberFormat="1">
      <alignment shrinkToFit="0" vertical="bottom" wrapText="0"/>
    </xf>
    <xf borderId="54" fillId="16" fontId="1" numFmtId="2" xfId="0" applyAlignment="1" applyBorder="1" applyFont="1" applyNumberFormat="1">
      <alignment horizontal="center" shrinkToFit="0" vertical="bottom" wrapText="0"/>
    </xf>
    <xf borderId="35" fillId="0" fontId="1" numFmtId="2" xfId="0" applyAlignment="1" applyBorder="1" applyFont="1" applyNumberFormat="1">
      <alignment shrinkToFit="0" vertical="bottom" wrapText="0"/>
    </xf>
    <xf borderId="52" fillId="0" fontId="1" numFmtId="2" xfId="0" applyAlignment="1" applyBorder="1" applyFont="1" applyNumberFormat="1">
      <alignment shrinkToFit="0" vertical="bottom" wrapText="0"/>
    </xf>
    <xf borderId="54" fillId="16" fontId="1" numFmtId="2" xfId="0" applyAlignment="1" applyBorder="1" applyFont="1" applyNumberFormat="1">
      <alignment horizontal="center" shrinkToFit="0" vertical="center" wrapText="0"/>
    </xf>
    <xf borderId="55" fillId="16" fontId="1" numFmtId="2" xfId="0" applyAlignment="1" applyBorder="1" applyFont="1" applyNumberFormat="1">
      <alignment horizontal="center" shrinkToFit="0" vertical="center" wrapText="0"/>
    </xf>
    <xf borderId="54" fillId="8" fontId="1" numFmtId="2" xfId="0" applyAlignment="1" applyBorder="1" applyFont="1" applyNumberFormat="1">
      <alignment horizontal="center" shrinkToFit="0" vertical="center" wrapText="0"/>
    </xf>
    <xf borderId="55" fillId="8" fontId="1" numFmtId="2" xfId="0" applyAlignment="1" applyBorder="1" applyFont="1" applyNumberFormat="1">
      <alignment horizontal="center" shrinkToFit="0" vertical="center" wrapText="0"/>
    </xf>
    <xf borderId="54" fillId="18" fontId="1" numFmtId="2" xfId="0" applyAlignment="1" applyBorder="1" applyFont="1" applyNumberFormat="1">
      <alignment horizontal="center" shrinkToFit="0" vertical="center" wrapText="0"/>
    </xf>
    <xf borderId="56" fillId="18" fontId="1" numFmtId="2" xfId="0" applyAlignment="1" applyBorder="1" applyFont="1" applyNumberFormat="1">
      <alignment horizontal="center" shrinkToFit="0" vertical="center" wrapText="0"/>
    </xf>
    <xf borderId="54" fillId="19" fontId="1" numFmtId="2" xfId="0" applyAlignment="1" applyBorder="1" applyFont="1" applyNumberFormat="1">
      <alignment horizontal="center" shrinkToFit="0" vertical="center" wrapText="0"/>
    </xf>
    <xf borderId="56" fillId="19" fontId="1" numFmtId="2" xfId="0" applyAlignment="1" applyBorder="1" applyFont="1" applyNumberFormat="1">
      <alignment horizontal="center" shrinkToFit="0" vertical="center" wrapText="0"/>
    </xf>
    <xf borderId="57" fillId="0" fontId="1" numFmtId="2" xfId="0" applyAlignment="1" applyBorder="1" applyFont="1" applyNumberFormat="1">
      <alignment shrinkToFit="0" vertical="bottom" wrapText="0"/>
    </xf>
    <xf borderId="30" fillId="16" fontId="1" numFmtId="2" xfId="0" applyAlignment="1" applyBorder="1" applyFont="1" applyNumberFormat="1">
      <alignment horizontal="center" shrinkToFit="0" vertical="center" wrapText="0"/>
    </xf>
    <xf borderId="29" fillId="16" fontId="1" numFmtId="2" xfId="0" applyAlignment="1" applyBorder="1" applyFont="1" applyNumberFormat="1">
      <alignment horizontal="center" shrinkToFit="0" vertical="center" wrapText="0"/>
    </xf>
    <xf borderId="30" fillId="8" fontId="1" numFmtId="2" xfId="0" applyAlignment="1" applyBorder="1" applyFont="1" applyNumberFormat="1">
      <alignment horizontal="center" shrinkToFit="0" vertical="center" wrapText="0"/>
    </xf>
    <xf borderId="29" fillId="8" fontId="1" numFmtId="2" xfId="0" applyAlignment="1" applyBorder="1" applyFont="1" applyNumberFormat="1">
      <alignment horizontal="center" shrinkToFit="0" vertical="center" wrapText="0"/>
    </xf>
    <xf borderId="30" fillId="18" fontId="1" numFmtId="2" xfId="0" applyAlignment="1" applyBorder="1" applyFont="1" applyNumberFormat="1">
      <alignment horizontal="center" shrinkToFit="0" vertical="center" wrapText="0"/>
    </xf>
    <xf borderId="31" fillId="18" fontId="1" numFmtId="2" xfId="0" applyAlignment="1" applyBorder="1" applyFont="1" applyNumberFormat="1">
      <alignment horizontal="center" shrinkToFit="0" vertical="center" wrapText="0"/>
    </xf>
    <xf borderId="30" fillId="19" fontId="1" numFmtId="2" xfId="0" applyAlignment="1" applyBorder="1" applyFont="1" applyNumberFormat="1">
      <alignment horizontal="center" shrinkToFit="0" vertical="center" wrapText="0"/>
    </xf>
    <xf borderId="31" fillId="19" fontId="1" numFmtId="2" xfId="0" applyAlignment="1" applyBorder="1" applyFont="1" applyNumberFormat="1">
      <alignment horizontal="center" shrinkToFit="0" vertical="center" wrapText="0"/>
    </xf>
    <xf borderId="30" fillId="16" fontId="1" numFmtId="2" xfId="0" applyAlignment="1" applyBorder="1" applyFont="1" applyNumberFormat="1">
      <alignment horizontal="center" shrinkToFit="0" vertical="bottom" wrapText="0"/>
    </xf>
    <xf borderId="29" fillId="16" fontId="1" numFmtId="2" xfId="0" applyAlignment="1" applyBorder="1" applyFont="1" applyNumberFormat="1">
      <alignment horizontal="center" shrinkToFit="0" vertical="bottom" wrapText="0"/>
    </xf>
    <xf borderId="33" fillId="0" fontId="1" numFmtId="0" xfId="0" applyAlignment="1" applyBorder="1" applyFont="1">
      <alignment shrinkToFit="0" vertical="bottom" wrapText="0"/>
    </xf>
    <xf borderId="40" fillId="16" fontId="12" numFmtId="2" xfId="0" applyAlignment="1" applyBorder="1" applyFont="1" applyNumberFormat="1">
      <alignment horizontal="center" shrinkToFit="0" vertical="bottom" wrapText="0"/>
    </xf>
    <xf borderId="1" fillId="6" fontId="18" numFmtId="0" xfId="0" applyAlignment="1" applyBorder="1" applyFont="1">
      <alignment shrinkToFit="0" vertical="bottom" wrapText="0"/>
    </xf>
    <xf borderId="9" fillId="5" fontId="18" numFmtId="0" xfId="0" applyAlignment="1" applyBorder="1" applyFont="1">
      <alignment shrinkToFit="0" vertical="bottom" wrapText="0"/>
    </xf>
    <xf borderId="9" fillId="25" fontId="1" numFmtId="0" xfId="0" applyAlignment="1" applyBorder="1" applyFill="1" applyFont="1">
      <alignment horizontal="center" shrinkToFit="0" vertical="bottom" wrapText="0"/>
    </xf>
    <xf borderId="9" fillId="26" fontId="1" numFmtId="0" xfId="0" applyAlignment="1" applyBorder="1" applyFill="1" applyFont="1">
      <alignment horizontal="center" shrinkToFit="0" vertical="bottom" wrapText="0"/>
    </xf>
    <xf borderId="9" fillId="27" fontId="1" numFmtId="0" xfId="0" applyAlignment="1" applyBorder="1" applyFill="1" applyFont="1">
      <alignment horizontal="center" shrinkToFit="0" vertical="bottom" wrapText="0"/>
    </xf>
    <xf borderId="9" fillId="28" fontId="1" numFmtId="0" xfId="0" applyAlignment="1" applyBorder="1" applyFill="1" applyFont="1">
      <alignment horizontal="center" shrinkToFit="0" vertical="bottom" wrapText="0"/>
    </xf>
    <xf borderId="9" fillId="29" fontId="1" numFmtId="0" xfId="0" applyAlignment="1" applyBorder="1" applyFill="1" applyFont="1">
      <alignment horizontal="center" shrinkToFit="0" vertical="bottom" wrapText="0"/>
    </xf>
    <xf borderId="9" fillId="26" fontId="1" numFmtId="2" xfId="0" applyAlignment="1" applyBorder="1" applyFont="1" applyNumberFormat="1">
      <alignment shrinkToFit="0" vertical="bottom" wrapText="0"/>
    </xf>
    <xf borderId="9" fillId="30" fontId="1" numFmtId="2" xfId="0" applyAlignment="1" applyBorder="1" applyFill="1" applyFont="1" applyNumberFormat="1">
      <alignment shrinkToFit="0" vertical="bottom" wrapText="0"/>
    </xf>
    <xf borderId="9" fillId="25" fontId="1" numFmtId="0" xfId="0" applyAlignment="1" applyBorder="1" applyFont="1">
      <alignment shrinkToFit="0" vertical="bottom" wrapText="0"/>
    </xf>
    <xf borderId="9" fillId="26" fontId="1" numFmtId="0" xfId="0" applyAlignment="1" applyBorder="1" applyFont="1">
      <alignment shrinkToFit="0" vertical="bottom" wrapText="0"/>
    </xf>
    <xf borderId="9" fillId="27" fontId="1" numFmtId="0" xfId="0" applyAlignment="1" applyBorder="1" applyFont="1">
      <alignment shrinkToFit="0" vertical="bottom" wrapText="0"/>
    </xf>
    <xf borderId="9" fillId="28" fontId="1" numFmtId="0" xfId="0" applyAlignment="1" applyBorder="1" applyFont="1">
      <alignment shrinkToFit="0" vertical="bottom" wrapText="0"/>
    </xf>
    <xf borderId="9" fillId="29" fontId="1" numFmtId="0" xfId="0" applyAlignment="1" applyBorder="1" applyFont="1">
      <alignment shrinkToFit="0" vertical="bottom" wrapText="0"/>
    </xf>
    <xf borderId="19" fillId="16" fontId="1" numFmtId="2" xfId="0" applyAlignment="1" applyBorder="1" applyFont="1" applyNumberFormat="1">
      <alignment horizontal="center" shrinkToFit="0" vertical="bottom" wrapText="0"/>
    </xf>
    <xf borderId="19" fillId="19" fontId="1" numFmtId="2" xfId="0" applyAlignment="1" applyBorder="1" applyFont="1" applyNumberFormat="1">
      <alignment horizontal="center" shrinkToFit="0" vertical="bottom" wrapText="0"/>
    </xf>
    <xf borderId="2" fillId="2" fontId="1" numFmtId="2" xfId="0" applyAlignment="1" applyBorder="1" applyFont="1" applyNumberFormat="1">
      <alignment horizontal="center" shrinkToFit="0" vertical="bottom" wrapText="0"/>
    </xf>
    <xf borderId="24" fillId="16" fontId="1" numFmtId="2" xfId="0" applyAlignment="1" applyBorder="1" applyFont="1" applyNumberFormat="1">
      <alignment horizontal="center" shrinkToFit="0" vertical="bottom" wrapText="0"/>
    </xf>
    <xf borderId="23" fillId="18" fontId="1" numFmtId="2" xfId="0" applyAlignment="1" applyBorder="1" applyFont="1" applyNumberFormat="1">
      <alignment horizontal="center" shrinkToFit="0" vertical="bottom" wrapText="0"/>
    </xf>
    <xf borderId="23" fillId="19" fontId="1" numFmtId="2" xfId="0" applyAlignment="1" applyBorder="1" applyFont="1" applyNumberFormat="1">
      <alignment horizontal="center" shrinkToFit="0" vertical="bottom" wrapText="0"/>
    </xf>
    <xf borderId="1" fillId="2" fontId="1" numFmtId="2" xfId="0" applyAlignment="1" applyBorder="1" applyFont="1" applyNumberFormat="1">
      <alignment horizontal="center" shrinkToFit="0" vertical="bottom" wrapText="0"/>
    </xf>
    <xf borderId="50" fillId="16" fontId="12" numFmtId="2" xfId="0" applyAlignment="1" applyBorder="1" applyFont="1" applyNumberFormat="1">
      <alignment horizontal="center" shrinkToFit="0" vertical="bottom" wrapText="0"/>
    </xf>
    <xf borderId="10" fillId="8" fontId="1" numFmtId="2" xfId="0" applyAlignment="1" applyBorder="1" applyFont="1" applyNumberFormat="1">
      <alignment horizontal="center" shrinkToFit="0" vertical="bottom" wrapText="0"/>
    </xf>
    <xf borderId="34" fillId="8" fontId="1" numFmtId="2" xfId="0" applyAlignment="1" applyBorder="1" applyFont="1" applyNumberFormat="1">
      <alignment horizontal="center" shrinkToFit="0" vertical="bottom" wrapText="0"/>
    </xf>
    <xf borderId="10" fillId="18" fontId="1" numFmtId="2" xfId="0" applyAlignment="1" applyBorder="1" applyFont="1" applyNumberFormat="1">
      <alignment horizontal="center" shrinkToFit="0" vertical="bottom" wrapText="0"/>
    </xf>
    <xf borderId="10" fillId="19" fontId="1" numFmtId="2" xfId="0" applyAlignment="1" applyBorder="1" applyFont="1" applyNumberFormat="1">
      <alignment horizontal="center" shrinkToFit="0" vertical="bottom" wrapText="0"/>
    </xf>
    <xf borderId="34" fillId="19" fontId="1" numFmtId="2" xfId="0" applyAlignment="1" applyBorder="1" applyFont="1" applyNumberFormat="1">
      <alignment horizontal="center" shrinkToFit="0" vertical="bottom" wrapText="0"/>
    </xf>
    <xf borderId="36" fillId="8" fontId="1" numFmtId="2" xfId="0" applyAlignment="1" applyBorder="1" applyFont="1" applyNumberFormat="1">
      <alignment horizontal="center" shrinkToFit="0" vertical="bottom" wrapText="0"/>
    </xf>
    <xf borderId="51" fillId="8" fontId="1" numFmtId="2" xfId="0" applyAlignment="1" applyBorder="1" applyFont="1" applyNumberFormat="1">
      <alignment horizontal="center" shrinkToFit="0" vertical="bottom" wrapText="0"/>
    </xf>
    <xf borderId="33" fillId="0" fontId="12" numFmtId="2" xfId="0" applyAlignment="1" applyBorder="1" applyFont="1" applyNumberFormat="1">
      <alignment shrinkToFit="0" vertical="bottom" wrapText="0"/>
    </xf>
    <xf borderId="51" fillId="16" fontId="12" numFmtId="2" xfId="0" applyAlignment="1" applyBorder="1" applyFont="1" applyNumberFormat="1">
      <alignment horizontal="center" shrinkToFit="0" vertical="bottom" wrapText="0"/>
    </xf>
    <xf borderId="34" fillId="16" fontId="12" numFmtId="2" xfId="0" applyAlignment="1" applyBorder="1" applyFont="1" applyNumberFormat="1">
      <alignment horizontal="center" shrinkToFit="0" vertical="bottom" wrapText="0"/>
    </xf>
    <xf borderId="51" fillId="8" fontId="12" numFmtId="2" xfId="0" applyAlignment="1" applyBorder="1" applyFont="1" applyNumberFormat="1">
      <alignment horizontal="center" shrinkToFit="0" vertical="bottom" wrapText="0"/>
    </xf>
    <xf borderId="34" fillId="8" fontId="12" numFmtId="2" xfId="0" applyAlignment="1" applyBorder="1" applyFont="1" applyNumberFormat="1">
      <alignment horizontal="center" shrinkToFit="0" vertical="bottom" wrapText="0"/>
    </xf>
    <xf borderId="34" fillId="18" fontId="12" numFmtId="2" xfId="0" applyAlignment="1" applyBorder="1" applyFont="1" applyNumberFormat="1">
      <alignment horizontal="center" shrinkToFit="0" vertical="bottom" wrapText="0"/>
    </xf>
    <xf borderId="34" fillId="19" fontId="12" numFmtId="2" xfId="0" applyAlignment="1" applyBorder="1" applyFont="1" applyNumberFormat="1">
      <alignment horizontal="center" shrinkToFit="0" vertical="bottom" wrapText="0"/>
    </xf>
    <xf borderId="58" fillId="0" fontId="1" numFmtId="2" xfId="0" applyAlignment="1" applyBorder="1" applyFont="1" applyNumberFormat="1">
      <alignment shrinkToFit="0" vertical="bottom" wrapText="0"/>
    </xf>
    <xf borderId="59" fillId="16" fontId="1" numFmtId="2" xfId="0" applyAlignment="1" applyBorder="1" applyFont="1" applyNumberFormat="1">
      <alignment horizontal="center" shrinkToFit="0" vertical="bottom" wrapText="0"/>
    </xf>
    <xf borderId="60" fillId="0" fontId="12" numFmtId="2" xfId="0" applyAlignment="1" applyBorder="1" applyFont="1" applyNumberFormat="1">
      <alignment shrinkToFit="0" vertical="bottom" wrapText="0"/>
    </xf>
    <xf borderId="9" fillId="5" fontId="1" numFmtId="0" xfId="0" applyAlignment="1" applyBorder="1" applyFont="1">
      <alignment shrinkToFit="0" vertical="bottom" wrapText="0"/>
    </xf>
    <xf borderId="55" fillId="16" fontId="1" numFmtId="2" xfId="0" applyAlignment="1" applyBorder="1" applyFont="1" applyNumberFormat="1">
      <alignment horizontal="center" shrinkToFit="0" vertical="bottom" wrapText="0"/>
    </xf>
    <xf borderId="54" fillId="8" fontId="1" numFmtId="2" xfId="0" applyAlignment="1" applyBorder="1" applyFont="1" applyNumberFormat="1">
      <alignment horizontal="center" shrinkToFit="0" vertical="bottom" wrapText="0"/>
    </xf>
    <xf borderId="55" fillId="8" fontId="1" numFmtId="2" xfId="0" applyAlignment="1" applyBorder="1" applyFont="1" applyNumberFormat="1">
      <alignment horizontal="center" shrinkToFit="0" vertical="bottom" wrapText="0"/>
    </xf>
    <xf borderId="54" fillId="18" fontId="1" numFmtId="2" xfId="0" applyAlignment="1" applyBorder="1" applyFont="1" applyNumberFormat="1">
      <alignment horizontal="center" shrinkToFit="0" vertical="bottom" wrapText="0"/>
    </xf>
    <xf borderId="55" fillId="18" fontId="1" numFmtId="2" xfId="0" applyAlignment="1" applyBorder="1" applyFont="1" applyNumberFormat="1">
      <alignment horizontal="center" shrinkToFit="0" vertical="bottom" wrapText="0"/>
    </xf>
    <xf borderId="54" fillId="19" fontId="1" numFmtId="2" xfId="0" applyAlignment="1" applyBorder="1" applyFont="1" applyNumberFormat="1">
      <alignment horizontal="center" shrinkToFit="0" vertical="bottom" wrapText="0"/>
    </xf>
    <xf borderId="55" fillId="19" fontId="1" numFmtId="2" xfId="0" applyAlignment="1" applyBorder="1" applyFont="1" applyNumberFormat="1">
      <alignment horizontal="center" shrinkToFit="0" vertical="bottom" wrapText="0"/>
    </xf>
    <xf borderId="12" fillId="16" fontId="1" numFmtId="2" xfId="0" applyAlignment="1" applyBorder="1" applyFont="1" applyNumberFormat="1">
      <alignment horizontal="center" shrinkToFit="0" vertical="bottom" wrapText="0"/>
    </xf>
    <xf borderId="10" fillId="16" fontId="12" numFmtId="2" xfId="0" applyAlignment="1" applyBorder="1" applyFont="1" applyNumberFormat="1">
      <alignment horizontal="center" shrinkToFit="0" vertical="bottom" wrapText="0"/>
    </xf>
    <xf borderId="55" fillId="16" fontId="12" numFmtId="2" xfId="0" applyAlignment="1" applyBorder="1" applyFont="1" applyNumberFormat="1">
      <alignment horizontal="center" shrinkToFit="0" vertical="bottom" wrapText="0"/>
    </xf>
    <xf borderId="54" fillId="8" fontId="12" numFmtId="2" xfId="0" applyAlignment="1" applyBorder="1" applyFont="1" applyNumberFormat="1">
      <alignment horizontal="center" shrinkToFit="0" vertical="bottom" wrapText="0"/>
    </xf>
    <xf borderId="55" fillId="8" fontId="12" numFmtId="2" xfId="0" applyAlignment="1" applyBorder="1" applyFont="1" applyNumberFormat="1">
      <alignment horizontal="center" shrinkToFit="0" vertical="bottom" wrapText="0"/>
    </xf>
    <xf borderId="54" fillId="18" fontId="12" numFmtId="2" xfId="0" applyAlignment="1" applyBorder="1" applyFont="1" applyNumberFormat="1">
      <alignment horizontal="center" shrinkToFit="0" vertical="bottom" wrapText="0"/>
    </xf>
    <xf borderId="55" fillId="18" fontId="12" numFmtId="2" xfId="0" applyAlignment="1" applyBorder="1" applyFont="1" applyNumberFormat="1">
      <alignment horizontal="center" shrinkToFit="0" vertical="bottom" wrapText="0"/>
    </xf>
    <xf borderId="54" fillId="19" fontId="12" numFmtId="2" xfId="0" applyAlignment="1" applyBorder="1" applyFont="1" applyNumberFormat="1">
      <alignment horizontal="center" shrinkToFit="0" vertical="bottom" wrapText="0"/>
    </xf>
    <xf borderId="55" fillId="19" fontId="12" numFmtId="2" xfId="0" applyAlignment="1" applyBorder="1" applyFont="1" applyNumberFormat="1">
      <alignment horizontal="center" shrinkToFit="0" vertical="bottom" wrapText="0"/>
    </xf>
    <xf borderId="0" fillId="0" fontId="1" numFmtId="2" xfId="0" applyAlignment="1" applyFont="1" applyNumberFormat="1">
      <alignment horizontal="center" shrinkToFit="0" vertical="bottom" wrapText="0"/>
    </xf>
    <xf borderId="9" fillId="5" fontId="16" numFmtId="2" xfId="0" applyAlignment="1" applyBorder="1" applyFont="1" applyNumberFormat="1">
      <alignment horizontal="center" shrinkToFit="0" vertical="top" wrapText="0"/>
    </xf>
    <xf borderId="9" fillId="31" fontId="16" numFmtId="2" xfId="0" applyAlignment="1" applyBorder="1" applyFill="1" applyFont="1" applyNumberFormat="1">
      <alignment horizontal="center" shrinkToFit="0" vertical="top" wrapText="0"/>
    </xf>
    <xf borderId="9" fillId="32" fontId="1" numFmtId="2" xfId="0" applyAlignment="1" applyBorder="1" applyFill="1" applyFont="1" applyNumberFormat="1">
      <alignment shrinkToFit="0" vertical="bottom" wrapText="0"/>
    </xf>
    <xf borderId="9" fillId="3" fontId="1" numFmtId="2" xfId="0" applyAlignment="1" applyBorder="1" applyFont="1" applyNumberFormat="1">
      <alignment shrinkToFit="0" vertical="bottom" wrapText="0"/>
    </xf>
    <xf borderId="9" fillId="33" fontId="1" numFmtId="2" xfId="0" applyAlignment="1" applyBorder="1" applyFill="1" applyFont="1" applyNumberFormat="1">
      <alignment shrinkToFit="0" vertical="bottom" wrapText="0"/>
    </xf>
    <xf borderId="9" fillId="34" fontId="1" numFmtId="2" xfId="0" applyAlignment="1" applyBorder="1" applyFill="1" applyFont="1" applyNumberFormat="1">
      <alignment shrinkToFit="0" vertical="bottom" wrapText="0"/>
    </xf>
    <xf borderId="9" fillId="31" fontId="1" numFmtId="2" xfId="0" applyAlignment="1" applyBorder="1" applyFont="1" applyNumberFormat="1">
      <alignment shrinkToFit="0" vertical="bottom" wrapText="0"/>
    </xf>
    <xf borderId="9" fillId="0" fontId="1" numFmtId="2" xfId="0" applyAlignment="1" applyBorder="1" applyFont="1" applyNumberFormat="1">
      <alignment shrinkToFit="0" vertical="bottom" wrapText="0"/>
    </xf>
    <xf borderId="9" fillId="5" fontId="18" numFmtId="2" xfId="0" applyAlignment="1" applyBorder="1" applyFont="1" applyNumberFormat="1">
      <alignment horizontal="center" shrinkToFit="0" vertical="center" wrapText="0"/>
    </xf>
    <xf borderId="9" fillId="5" fontId="17" numFmtId="2" xfId="0" applyAlignment="1" applyBorder="1" applyFont="1" applyNumberFormat="1">
      <alignment horizontal="center" shrinkToFit="0" vertical="bottom" wrapText="0"/>
    </xf>
    <xf borderId="61" fillId="35" fontId="12" numFmtId="2" xfId="0" applyAlignment="1" applyBorder="1" applyFill="1" applyFont="1" applyNumberFormat="1">
      <alignment shrinkToFit="0" vertical="bottom" wrapText="0"/>
    </xf>
    <xf borderId="62" fillId="16" fontId="12" numFmtId="2" xfId="0" applyAlignment="1" applyBorder="1" applyFont="1" applyNumberFormat="1">
      <alignment horizontal="center" shrinkToFit="0" vertical="bottom" wrapText="0"/>
    </xf>
    <xf borderId="33" fillId="35" fontId="1" numFmtId="2" xfId="0" applyAlignment="1" applyBorder="1" applyFont="1" applyNumberFormat="1">
      <alignment shrinkToFit="0" vertical="bottom" wrapText="0"/>
    </xf>
    <xf borderId="63" fillId="35" fontId="1" numFmtId="2" xfId="0" applyAlignment="1" applyBorder="1" applyFont="1" applyNumberFormat="1">
      <alignment shrinkToFit="0" vertical="bottom" wrapText="0"/>
    </xf>
    <xf borderId="35" fillId="35" fontId="1" numFmtId="2" xfId="0" applyAlignment="1" applyBorder="1" applyFont="1" applyNumberFormat="1">
      <alignment shrinkToFit="0" vertical="bottom" wrapText="0"/>
    </xf>
    <xf borderId="27" fillId="36" fontId="12" numFmtId="2" xfId="0" applyAlignment="1" applyBorder="1" applyFill="1" applyFont="1" applyNumberFormat="1">
      <alignment shrinkToFit="0" vertical="bottom" wrapText="0"/>
    </xf>
    <xf borderId="64" fillId="16" fontId="1" numFmtId="2" xfId="0" applyAlignment="1" applyBorder="1" applyFont="1" applyNumberFormat="1">
      <alignment horizontal="center" shrinkToFit="0" vertical="bottom" wrapText="0"/>
    </xf>
    <xf borderId="27" fillId="36" fontId="1" numFmtId="2" xfId="0" applyAlignment="1" applyBorder="1" applyFont="1" applyNumberFormat="1">
      <alignment shrinkToFit="0" vertical="bottom" wrapText="0"/>
    </xf>
    <xf borderId="33" fillId="36" fontId="1" numFmtId="2" xfId="0" applyAlignment="1" applyBorder="1" applyFont="1" applyNumberFormat="1">
      <alignment shrinkToFit="0" vertical="bottom" wrapText="0"/>
    </xf>
    <xf borderId="33" fillId="36" fontId="12" numFmtId="2" xfId="0" applyAlignment="1" applyBorder="1" applyFont="1" applyNumberFormat="1">
      <alignment shrinkToFit="0" vertical="bottom" wrapText="0"/>
    </xf>
    <xf borderId="33" fillId="36" fontId="23" numFmtId="2" xfId="0" applyAlignment="1" applyBorder="1" applyFont="1" applyNumberFormat="1">
      <alignment horizontal="left" shrinkToFit="1" vertical="center" wrapText="0"/>
    </xf>
    <xf borderId="33" fillId="36" fontId="24" numFmtId="2" xfId="0" applyAlignment="1" applyBorder="1" applyFont="1" applyNumberFormat="1">
      <alignment horizontal="left" shrinkToFit="1" vertical="center" wrapText="0"/>
    </xf>
    <xf borderId="65" fillId="36" fontId="1" numFmtId="2" xfId="0" applyAlignment="1" applyBorder="1" applyFont="1" applyNumberFormat="1">
      <alignment shrinkToFit="0" vertical="bottom" wrapText="0"/>
    </xf>
    <xf borderId="66" fillId="36" fontId="23" numFmtId="2" xfId="0" applyAlignment="1" applyBorder="1" applyFont="1" applyNumberFormat="1">
      <alignment horizontal="left" shrinkToFit="1" vertical="center" wrapText="0"/>
    </xf>
    <xf borderId="66" fillId="36" fontId="24" numFmtId="2" xfId="0" applyAlignment="1" applyBorder="1" applyFont="1" applyNumberFormat="1">
      <alignment horizontal="left" shrinkToFit="1" vertical="center" wrapText="0"/>
    </xf>
    <xf borderId="35" fillId="36" fontId="24" numFmtId="2" xfId="0" applyAlignment="1" applyBorder="1" applyFont="1" applyNumberFormat="1">
      <alignment horizontal="left" shrinkToFit="1" vertical="center" wrapText="0"/>
    </xf>
    <xf borderId="27" fillId="37" fontId="12" numFmtId="2" xfId="0" applyAlignment="1" applyBorder="1" applyFill="1" applyFont="1" applyNumberFormat="1">
      <alignment shrinkToFit="0" vertical="bottom" wrapText="0"/>
    </xf>
    <xf borderId="67" fillId="8" fontId="12" numFmtId="2" xfId="0" applyAlignment="1" applyBorder="1" applyFont="1" applyNumberFormat="1">
      <alignment horizontal="center" shrinkToFit="0" vertical="bottom" wrapText="0"/>
    </xf>
    <xf borderId="27" fillId="37" fontId="1" numFmtId="2" xfId="0" applyAlignment="1" applyBorder="1" applyFont="1" applyNumberFormat="1">
      <alignment shrinkToFit="0" vertical="bottom" wrapText="0"/>
    </xf>
    <xf borderId="33" fillId="37" fontId="1" numFmtId="2" xfId="0" applyAlignment="1" applyBorder="1" applyFont="1" applyNumberFormat="1">
      <alignment shrinkToFit="0" vertical="bottom" wrapText="0"/>
    </xf>
    <xf borderId="33" fillId="37" fontId="12" numFmtId="2" xfId="0" applyAlignment="1" applyBorder="1" applyFont="1" applyNumberFormat="1">
      <alignment shrinkToFit="0" vertical="bottom" wrapText="0"/>
    </xf>
    <xf borderId="33" fillId="37" fontId="23" numFmtId="2" xfId="0" applyAlignment="1" applyBorder="1" applyFont="1" applyNumberFormat="1">
      <alignment horizontal="left" shrinkToFit="1" vertical="center" wrapText="0"/>
    </xf>
    <xf borderId="33" fillId="37" fontId="24" numFmtId="2" xfId="0" applyAlignment="1" applyBorder="1" applyFont="1" applyNumberFormat="1">
      <alignment horizontal="left" shrinkToFit="1" vertical="center" wrapText="0"/>
    </xf>
    <xf borderId="66" fillId="37" fontId="23" numFmtId="2" xfId="0" applyAlignment="1" applyBorder="1" applyFont="1" applyNumberFormat="1">
      <alignment horizontal="left" shrinkToFit="1" vertical="center" wrapText="0"/>
    </xf>
    <xf borderId="66" fillId="37" fontId="24" numFmtId="2" xfId="0" applyAlignment="1" applyBorder="1" applyFont="1" applyNumberFormat="1">
      <alignment horizontal="left" shrinkToFit="1" vertical="center" wrapText="0"/>
    </xf>
    <xf borderId="63" fillId="37" fontId="24" numFmtId="2" xfId="0" applyAlignment="1" applyBorder="1" applyFont="1" applyNumberFormat="1">
      <alignment horizontal="left" shrinkToFit="1" vertical="center" wrapText="0"/>
    </xf>
    <xf borderId="68" fillId="37" fontId="24" numFmtId="2" xfId="0" applyAlignment="1" applyBorder="1" applyFont="1" applyNumberFormat="1">
      <alignment horizontal="left" shrinkToFit="1" vertical="center" wrapText="0"/>
    </xf>
    <xf borderId="27" fillId="38" fontId="12" numFmtId="2" xfId="0" applyAlignment="1" applyBorder="1" applyFill="1" applyFont="1" applyNumberFormat="1">
      <alignment shrinkToFit="0" vertical="bottom" wrapText="0"/>
    </xf>
    <xf borderId="33" fillId="38" fontId="1" numFmtId="2" xfId="0" applyAlignment="1" applyBorder="1" applyFont="1" applyNumberFormat="1">
      <alignment shrinkToFit="0" vertical="bottom" wrapText="0"/>
    </xf>
    <xf borderId="33" fillId="38" fontId="12" numFmtId="2" xfId="0" applyAlignment="1" applyBorder="1" applyFont="1" applyNumberFormat="1">
      <alignment shrinkToFit="0" vertical="bottom" wrapText="0"/>
    </xf>
    <xf borderId="66" fillId="38" fontId="1" numFmtId="2" xfId="0" applyAlignment="1" applyBorder="1" applyFont="1" applyNumberFormat="1">
      <alignment shrinkToFit="0" vertical="bottom" wrapText="1"/>
    </xf>
    <xf borderId="55" fillId="18" fontId="1" numFmtId="2" xfId="0" applyAlignment="1" applyBorder="1" applyFont="1" applyNumberFormat="1">
      <alignment horizontal="center" shrinkToFit="0" vertical="center" wrapText="0"/>
    </xf>
    <xf borderId="55" fillId="19" fontId="1" numFmtId="2" xfId="0" applyAlignment="1" applyBorder="1" applyFont="1" applyNumberFormat="1">
      <alignment horizontal="center" shrinkToFit="0" vertical="center" wrapText="0"/>
    </xf>
    <xf borderId="27" fillId="38" fontId="1" numFmtId="2" xfId="0" applyAlignment="1" applyBorder="1" applyFont="1" applyNumberFormat="1">
      <alignment shrinkToFit="0" vertical="bottom" wrapText="0"/>
    </xf>
    <xf borderId="29" fillId="18" fontId="1" numFmtId="2" xfId="0" applyAlignment="1" applyBorder="1" applyFont="1" applyNumberFormat="1">
      <alignment horizontal="center" shrinkToFit="0" vertical="center" wrapText="0"/>
    </xf>
    <xf borderId="29" fillId="19" fontId="1" numFmtId="2" xfId="0" applyAlignment="1" applyBorder="1" applyFont="1" applyNumberFormat="1">
      <alignment horizontal="center" shrinkToFit="0" vertical="center" wrapText="0"/>
    </xf>
    <xf borderId="33" fillId="38" fontId="23" numFmtId="2" xfId="0" applyAlignment="1" applyBorder="1" applyFont="1" applyNumberFormat="1">
      <alignment horizontal="left" shrinkToFit="1" vertical="center" wrapText="0"/>
    </xf>
    <xf borderId="33" fillId="38" fontId="24" numFmtId="2" xfId="0" applyAlignment="1" applyBorder="1" applyFont="1" applyNumberFormat="1">
      <alignment horizontal="left" shrinkToFit="1" vertical="center" wrapText="0"/>
    </xf>
    <xf borderId="27" fillId="38" fontId="23" numFmtId="2" xfId="0" applyAlignment="1" applyBorder="1" applyFont="1" applyNumberFormat="1">
      <alignment horizontal="left" shrinkToFit="1" vertical="center" wrapText="0"/>
    </xf>
    <xf borderId="66" fillId="38" fontId="23" numFmtId="2" xfId="0" applyAlignment="1" applyBorder="1" applyFont="1" applyNumberFormat="1">
      <alignment horizontal="left" shrinkToFit="1" vertical="center" wrapText="0"/>
    </xf>
    <xf borderId="35" fillId="38" fontId="24" numFmtId="2" xfId="0" applyAlignment="1" applyBorder="1" applyFont="1" applyNumberFormat="1">
      <alignment horizontal="left" shrinkToFit="1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24</xdr:col>
      <xdr:colOff>247650</xdr:colOff>
      <xdr:row>69</xdr:row>
      <xdr:rowOff>9525</xdr:rowOff>
    </xdr:from>
    <xdr:ext cx="285750" cy="1333500"/>
    <xdr:sp>
      <xdr:nvSpPr>
        <xdr:cNvPr id="3" name="Shape 3"/>
        <xdr:cNvSpPr/>
      </xdr:nvSpPr>
      <xdr:spPr>
        <a:xfrm flipH="1">
          <a:off x="5207888" y="3118013"/>
          <a:ext cx="276225" cy="1323975"/>
        </a:xfrm>
        <a:prstGeom prst="rect">
          <a:avLst/>
        </a:prstGeom>
        <a:solidFill>
          <a:srgbClr val="C4BD97"/>
        </a:solidFill>
        <a:ln cap="flat" cmpd="sng" w="9525">
          <a:solidFill>
            <a:srgbClr val="BCBCBC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6</xdr:col>
      <xdr:colOff>0</xdr:colOff>
      <xdr:row>7</xdr:row>
      <xdr:rowOff>0</xdr:rowOff>
    </xdr:from>
    <xdr:ext cx="2952750" cy="1000125"/>
    <xdr:sp>
      <xdr:nvSpPr>
        <xdr:cNvPr id="4" name="Shape 4"/>
        <xdr:cNvSpPr/>
      </xdr:nvSpPr>
      <xdr:spPr>
        <a:xfrm>
          <a:off x="3874388" y="3279938"/>
          <a:ext cx="2943225" cy="1000125"/>
        </a:xfrm>
        <a:prstGeom prst="rect">
          <a:avLst/>
        </a:prstGeom>
        <a:solidFill>
          <a:srgbClr val="C4BD97"/>
        </a:solidFill>
        <a:ln cap="flat" cmpd="sng" w="9525">
          <a:solidFill>
            <a:srgbClr val="BCBCBC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i="0" lang="en-US" sz="1100" u="none" strike="noStrike">
              <a:solidFill>
                <a:srgbClr val="993300"/>
              </a:solidFill>
              <a:latin typeface="Calibri"/>
              <a:ea typeface="Calibri"/>
              <a:cs typeface="Calibri"/>
              <a:sym typeface="Calibri"/>
            </a:rPr>
            <a:t>WARNING!  Ensure that  all blue and green cells are blank on both of the "Ship Data" entry pages before entering your data or errors will occur in the  result</a:t>
          </a:r>
          <a:r>
            <a:rPr b="1" i="0" lang="en-US" sz="1100" u="none" strike="noStrike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s</a:t>
          </a:r>
          <a:endParaRPr sz="1400"/>
        </a:p>
      </xdr:txBody>
    </xdr:sp>
    <xdr:clientData fLocksWithSheet="0"/>
  </xdr:oneCellAnchor>
  <xdr:oneCellAnchor>
    <xdr:from>
      <xdr:col>7</xdr:col>
      <xdr:colOff>704850</xdr:colOff>
      <xdr:row>2</xdr:row>
      <xdr:rowOff>9525</xdr:rowOff>
    </xdr:from>
    <xdr:ext cx="1152525" cy="10001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133350</xdr:colOff>
      <xdr:row>34</xdr:row>
      <xdr:rowOff>28575</xdr:rowOff>
    </xdr:from>
    <xdr:ext cx="409575" cy="838200"/>
    <xdr:sp>
      <xdr:nvSpPr>
        <xdr:cNvPr id="5" name="Shape 5"/>
        <xdr:cNvSpPr/>
      </xdr:nvSpPr>
      <xdr:spPr>
        <a:xfrm>
          <a:off x="5141213" y="3365663"/>
          <a:ext cx="409575" cy="828675"/>
        </a:xfrm>
        <a:prstGeom prst="rect">
          <a:avLst/>
        </a:prstGeom>
        <a:solidFill>
          <a:srgbClr val="C4BD97"/>
        </a:solidFill>
        <a:ln cap="flat" cmpd="sng" w="9525">
          <a:solidFill>
            <a:srgbClr val="BCBCBC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6</xdr:col>
      <xdr:colOff>0</xdr:colOff>
      <xdr:row>8</xdr:row>
      <xdr:rowOff>152400</xdr:rowOff>
    </xdr:from>
    <xdr:ext cx="2952750" cy="485775"/>
    <xdr:sp>
      <xdr:nvSpPr>
        <xdr:cNvPr id="6" name="Shape 6"/>
        <xdr:cNvSpPr/>
      </xdr:nvSpPr>
      <xdr:spPr>
        <a:xfrm>
          <a:off x="3874388" y="3541875"/>
          <a:ext cx="2943225" cy="476250"/>
        </a:xfrm>
        <a:prstGeom prst="rect">
          <a:avLst/>
        </a:prstGeom>
        <a:solidFill>
          <a:srgbClr val="C4BD97"/>
        </a:solidFill>
        <a:ln cap="flat" cmpd="sng" w="9525">
          <a:solidFill>
            <a:srgbClr val="BCBCBC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i="0" lang="en-US" sz="1100" u="none" strike="noStrike">
              <a:solidFill>
                <a:srgbClr val="993300"/>
              </a:solidFill>
              <a:latin typeface="Calibri"/>
              <a:ea typeface="Calibri"/>
              <a:cs typeface="Calibri"/>
              <a:sym typeface="Calibri"/>
            </a:rPr>
            <a:t>WARNING!  Ensure that  all blue and green cells are blank on both of the "Ship Data" entry pages before entering your data or errors will occur in the  results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1" i="0" sz="1100" u="none" strike="noStrike">
            <a:solidFill>
              <a:srgbClr val="9933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6</xdr:col>
      <xdr:colOff>0</xdr:colOff>
      <xdr:row>7</xdr:row>
      <xdr:rowOff>0</xdr:rowOff>
    </xdr:from>
    <xdr:ext cx="2933700" cy="1019175"/>
    <xdr:sp>
      <xdr:nvSpPr>
        <xdr:cNvPr id="7" name="Shape 7"/>
        <xdr:cNvSpPr/>
      </xdr:nvSpPr>
      <xdr:spPr>
        <a:xfrm>
          <a:off x="3883913" y="3275175"/>
          <a:ext cx="2924175" cy="1009650"/>
        </a:xfrm>
        <a:prstGeom prst="rect">
          <a:avLst/>
        </a:prstGeom>
        <a:solidFill>
          <a:srgbClr val="C4BD97"/>
        </a:solidFill>
        <a:ln cap="flat" cmpd="sng" w="9525">
          <a:solidFill>
            <a:srgbClr val="BCBCBC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i="0" lang="en-US" sz="1100" u="none" strike="noStrike">
              <a:solidFill>
                <a:srgbClr val="993300"/>
              </a:solidFill>
              <a:latin typeface="Calibri"/>
              <a:ea typeface="Calibri"/>
              <a:cs typeface="Calibri"/>
              <a:sym typeface="Calibri"/>
            </a:rPr>
            <a:t>WARNING!  Ensure that  all blue and green cells are blank on both of the "Ship Data" entry pages before entering your data or errors will occur in the  result</a:t>
          </a:r>
          <a:r>
            <a:rPr b="1" i="0" lang="en-US" sz="1100" u="none" strike="noStrike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s</a:t>
          </a:r>
          <a:endParaRPr sz="1400"/>
        </a:p>
      </xdr:txBody>
    </xdr:sp>
    <xdr:clientData fLocksWithSheet="0"/>
  </xdr:oneCellAnchor>
  <xdr:oneCellAnchor>
    <xdr:from>
      <xdr:col>7</xdr:col>
      <xdr:colOff>733425</xdr:colOff>
      <xdr:row>2</xdr:row>
      <xdr:rowOff>0</xdr:rowOff>
    </xdr:from>
    <xdr:ext cx="1171575" cy="10001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08080"/>
    <pageSetUpPr/>
  </sheetPr>
  <sheetViews>
    <sheetView showGridLines="0" workbookViewId="0"/>
  </sheetViews>
  <sheetFormatPr customHeight="1" defaultColWidth="14.43" defaultRowHeight="15.0"/>
  <cols>
    <col customWidth="1" min="1" max="13" width="8.86"/>
    <col customWidth="1" min="14" max="14" width="12.0"/>
    <col customWidth="1" min="15" max="29" width="8.86"/>
  </cols>
  <sheetData>
    <row r="1" ht="27.0" customHeight="1">
      <c r="A1" s="1"/>
      <c r="B1" s="1"/>
      <c r="C1" s="2" t="s"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1"/>
      <c r="P1" s="1"/>
      <c r="Q1" s="1"/>
      <c r="R1" s="1"/>
      <c r="S1" s="1"/>
      <c r="T1" s="5"/>
      <c r="U1" s="5"/>
      <c r="V1" s="5"/>
      <c r="W1" s="5"/>
      <c r="X1" s="5"/>
      <c r="Y1" s="5"/>
      <c r="Z1" s="5"/>
      <c r="AA1" s="5"/>
      <c r="AB1" s="5"/>
      <c r="AC1" s="5"/>
    </row>
    <row r="2" ht="6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5"/>
      <c r="U2" s="5"/>
      <c r="V2" s="5"/>
      <c r="W2" s="5"/>
      <c r="X2" s="5"/>
      <c r="Y2" s="5"/>
      <c r="Z2" s="5"/>
      <c r="AA2" s="5"/>
      <c r="AB2" s="5"/>
      <c r="AC2" s="5"/>
    </row>
    <row r="3" ht="15.75" customHeight="1">
      <c r="A3" s="1"/>
      <c r="B3" s="1"/>
      <c r="C3" s="6" t="s">
        <v>1</v>
      </c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1"/>
      <c r="P3" s="1"/>
      <c r="Q3" s="1"/>
      <c r="R3" s="1"/>
      <c r="S3" s="1"/>
      <c r="T3" s="5"/>
      <c r="U3" s="5"/>
      <c r="V3" s="5"/>
      <c r="W3" s="5"/>
      <c r="X3" s="5"/>
      <c r="Y3" s="5"/>
      <c r="Z3" s="5"/>
      <c r="AA3" s="5"/>
      <c r="AB3" s="5"/>
      <c r="AC3" s="5"/>
    </row>
    <row r="4" ht="15.75" customHeight="1">
      <c r="A4" s="1"/>
      <c r="B4" s="1"/>
      <c r="C4" s="6" t="s">
        <v>2</v>
      </c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1"/>
      <c r="P4" s="1"/>
      <c r="Q4" s="1"/>
      <c r="R4" s="1"/>
      <c r="S4" s="1"/>
      <c r="T4" s="5"/>
      <c r="U4" s="5"/>
      <c r="V4" s="5"/>
      <c r="W4" s="5"/>
      <c r="X4" s="5"/>
      <c r="Y4" s="5"/>
      <c r="Z4" s="5"/>
      <c r="AA4" s="5"/>
      <c r="AB4" s="5"/>
      <c r="AC4" s="5"/>
    </row>
    <row r="5" ht="3.75" customHeight="1">
      <c r="A5" s="1"/>
      <c r="B5" s="1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1"/>
      <c r="P5" s="1"/>
      <c r="Q5" s="1"/>
      <c r="R5" s="1"/>
      <c r="S5" s="1"/>
      <c r="T5" s="5"/>
      <c r="U5" s="5"/>
      <c r="V5" s="5"/>
      <c r="W5" s="5"/>
      <c r="X5" s="5"/>
      <c r="Y5" s="5"/>
      <c r="Z5" s="5"/>
      <c r="AA5" s="5"/>
      <c r="AB5" s="5"/>
      <c r="AC5" s="5"/>
    </row>
    <row r="6" ht="15.75" customHeight="1">
      <c r="A6" s="1"/>
      <c r="B6" s="1"/>
      <c r="C6" s="6" t="s">
        <v>3</v>
      </c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1"/>
      <c r="P6" s="1"/>
      <c r="Q6" s="1"/>
      <c r="R6" s="1"/>
      <c r="S6" s="1"/>
      <c r="T6" s="5"/>
      <c r="U6" s="5"/>
      <c r="V6" s="5"/>
      <c r="W6" s="5"/>
      <c r="X6" s="5"/>
      <c r="Y6" s="5"/>
      <c r="Z6" s="5"/>
      <c r="AA6" s="5"/>
      <c r="AB6" s="5"/>
      <c r="AC6" s="5"/>
    </row>
    <row r="7" ht="15.75" customHeight="1">
      <c r="A7" s="1"/>
      <c r="B7" s="1"/>
      <c r="C7" s="6" t="s">
        <v>4</v>
      </c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1"/>
      <c r="P7" s="1"/>
      <c r="Q7" s="1"/>
      <c r="R7" s="1"/>
      <c r="S7" s="1"/>
      <c r="T7" s="5"/>
      <c r="U7" s="5"/>
      <c r="V7" s="5"/>
      <c r="W7" s="5"/>
      <c r="X7" s="5"/>
      <c r="Y7" s="5"/>
      <c r="Z7" s="5"/>
      <c r="AA7" s="5"/>
      <c r="AB7" s="5"/>
      <c r="AC7" s="5"/>
    </row>
    <row r="8" ht="15.75" customHeight="1">
      <c r="A8" s="1"/>
      <c r="B8" s="1"/>
      <c r="C8" s="6" t="s">
        <v>5</v>
      </c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1"/>
      <c r="P8" s="1"/>
      <c r="Q8" s="1"/>
      <c r="R8" s="1"/>
      <c r="S8" s="1"/>
      <c r="T8" s="5"/>
      <c r="U8" s="5"/>
      <c r="V8" s="5"/>
      <c r="W8" s="5"/>
      <c r="X8" s="5"/>
      <c r="Y8" s="5"/>
      <c r="Z8" s="5"/>
      <c r="AA8" s="5"/>
      <c r="AB8" s="5"/>
      <c r="AC8" s="5"/>
    </row>
    <row r="9" ht="15.75" customHeight="1">
      <c r="A9" s="1"/>
      <c r="B9" s="1"/>
      <c r="C9" s="6" t="s">
        <v>6</v>
      </c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1"/>
      <c r="P9" s="1"/>
      <c r="Q9" s="1"/>
      <c r="R9" s="1"/>
      <c r="S9" s="1"/>
      <c r="T9" s="5"/>
      <c r="U9" s="5"/>
      <c r="V9" s="5"/>
      <c r="W9" s="5"/>
      <c r="X9" s="5"/>
      <c r="Y9" s="5"/>
      <c r="Z9" s="5"/>
      <c r="AA9" s="5"/>
      <c r="AB9" s="5"/>
      <c r="AC9" s="5"/>
    </row>
    <row r="10" ht="3.75" customHeight="1">
      <c r="A10" s="1"/>
      <c r="B10" s="1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1"/>
      <c r="P10" s="1"/>
      <c r="Q10" s="1"/>
      <c r="R10" s="1"/>
      <c r="S10" s="1"/>
      <c r="T10" s="5"/>
      <c r="U10" s="5"/>
      <c r="V10" s="5"/>
      <c r="W10" s="5"/>
      <c r="X10" s="5"/>
      <c r="Y10" s="5"/>
      <c r="Z10" s="5"/>
      <c r="AA10" s="5"/>
      <c r="AB10" s="5"/>
      <c r="AC10" s="5"/>
    </row>
    <row r="11" ht="15.75" customHeight="1">
      <c r="A11" s="1"/>
      <c r="B11" s="1"/>
      <c r="C11" s="6" t="s">
        <v>7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1"/>
      <c r="P11" s="1"/>
      <c r="Q11" s="1"/>
      <c r="R11" s="1"/>
      <c r="S11" s="1"/>
      <c r="T11" s="5"/>
      <c r="U11" s="5"/>
      <c r="V11" s="5"/>
      <c r="W11" s="5"/>
      <c r="X11" s="5"/>
      <c r="Y11" s="5"/>
      <c r="Z11" s="5"/>
      <c r="AA11" s="5"/>
      <c r="AB11" s="5"/>
      <c r="AC11" s="5"/>
    </row>
    <row r="12" ht="15.75" customHeight="1">
      <c r="A12" s="1"/>
      <c r="B12" s="1"/>
      <c r="C12" s="6" t="s">
        <v>8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1"/>
      <c r="P12" s="1"/>
      <c r="Q12" s="1"/>
      <c r="R12" s="1"/>
      <c r="S12" s="1"/>
      <c r="T12" s="5"/>
      <c r="U12" s="5"/>
      <c r="V12" s="5"/>
      <c r="W12" s="5"/>
      <c r="X12" s="5"/>
      <c r="Y12" s="5"/>
      <c r="Z12" s="5"/>
      <c r="AA12" s="5"/>
      <c r="AB12" s="5"/>
      <c r="AC12" s="5"/>
    </row>
    <row r="13" ht="15.75" customHeight="1">
      <c r="A13" s="1"/>
      <c r="B13" s="1"/>
      <c r="C13" s="6" t="s">
        <v>9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1"/>
      <c r="P13" s="1"/>
      <c r="Q13" s="1"/>
      <c r="R13" s="1"/>
      <c r="S13" s="1"/>
      <c r="T13" s="5"/>
      <c r="U13" s="5"/>
      <c r="V13" s="5"/>
      <c r="W13" s="5"/>
      <c r="X13" s="5"/>
      <c r="Y13" s="5"/>
      <c r="Z13" s="5"/>
      <c r="AA13" s="5"/>
      <c r="AB13" s="5"/>
      <c r="AC13" s="5"/>
    </row>
    <row r="14" ht="15.75" customHeight="1">
      <c r="A14" s="1"/>
      <c r="B14" s="1"/>
      <c r="C14" s="6" t="s">
        <v>10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1"/>
      <c r="P14" s="1"/>
      <c r="Q14" s="1"/>
      <c r="R14" s="1"/>
      <c r="S14" s="1"/>
      <c r="T14" s="5"/>
      <c r="U14" s="5"/>
      <c r="V14" s="5"/>
      <c r="W14" s="5"/>
      <c r="X14" s="5"/>
      <c r="Y14" s="5"/>
      <c r="Z14" s="5"/>
      <c r="AA14" s="5"/>
      <c r="AB14" s="5"/>
      <c r="AC14" s="5"/>
    </row>
    <row r="15" ht="3.75" customHeight="1">
      <c r="A15" s="1"/>
      <c r="B15" s="1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1"/>
      <c r="P15" s="1"/>
      <c r="Q15" s="1"/>
      <c r="R15" s="1"/>
      <c r="S15" s="1"/>
      <c r="T15" s="5"/>
      <c r="U15" s="5"/>
      <c r="V15" s="5"/>
      <c r="W15" s="5"/>
      <c r="X15" s="5"/>
      <c r="Y15" s="5"/>
      <c r="Z15" s="5"/>
      <c r="AA15" s="5"/>
      <c r="AB15" s="5"/>
      <c r="AC15" s="5"/>
    </row>
    <row r="16" ht="15.75" customHeight="1">
      <c r="A16" s="1"/>
      <c r="B16" s="1"/>
      <c r="C16" s="6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1"/>
      <c r="P16" s="1"/>
      <c r="Q16" s="1"/>
      <c r="R16" s="1"/>
      <c r="S16" s="1"/>
      <c r="T16" s="5"/>
      <c r="U16" s="5"/>
      <c r="V16" s="5"/>
      <c r="W16" s="5"/>
      <c r="X16" s="5"/>
      <c r="Y16" s="5"/>
      <c r="Z16" s="5"/>
      <c r="AA16" s="5"/>
      <c r="AB16" s="5"/>
      <c r="AC16" s="5"/>
    </row>
    <row r="17" ht="15.75" customHeight="1">
      <c r="A17" s="1"/>
      <c r="B17" s="1"/>
      <c r="C17" s="6" t="s">
        <v>12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1"/>
      <c r="P17" s="1"/>
      <c r="Q17" s="1"/>
      <c r="R17" s="1"/>
      <c r="S17" s="1"/>
      <c r="T17" s="5"/>
      <c r="U17" s="5"/>
      <c r="V17" s="5"/>
      <c r="W17" s="5"/>
      <c r="X17" s="5"/>
      <c r="Y17" s="5"/>
      <c r="Z17" s="5"/>
      <c r="AA17" s="5"/>
      <c r="AB17" s="5"/>
      <c r="AC17" s="5"/>
    </row>
    <row r="18" ht="15.75" customHeight="1">
      <c r="A18" s="1"/>
      <c r="B18" s="1"/>
      <c r="C18" s="6" t="s">
        <v>13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1"/>
      <c r="P18" s="1"/>
      <c r="Q18" s="1"/>
      <c r="R18" s="1"/>
      <c r="S18" s="1"/>
      <c r="T18" s="5"/>
      <c r="U18" s="5"/>
      <c r="V18" s="5"/>
      <c r="W18" s="5"/>
      <c r="X18" s="5"/>
      <c r="Y18" s="5"/>
      <c r="Z18" s="5"/>
      <c r="AA18" s="5"/>
      <c r="AB18" s="5"/>
      <c r="AC18" s="5"/>
    </row>
    <row r="19" ht="6.75" customHeight="1">
      <c r="A19" s="1"/>
      <c r="B19" s="1"/>
      <c r="C19" s="9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5"/>
      <c r="U19" s="5"/>
      <c r="V19" s="5"/>
      <c r="W19" s="5"/>
      <c r="X19" s="5"/>
      <c r="Y19" s="5"/>
      <c r="Z19" s="5"/>
      <c r="AA19" s="5"/>
      <c r="AB19" s="5"/>
      <c r="AC19" s="5"/>
    </row>
    <row r="20" ht="19.5" customHeight="1">
      <c r="A20" s="1"/>
      <c r="B20" s="1"/>
      <c r="C20" s="1"/>
      <c r="D20" s="1"/>
      <c r="E20" s="1"/>
      <c r="F20" s="1"/>
      <c r="G20" s="1"/>
      <c r="H20" s="10" t="s">
        <v>14</v>
      </c>
      <c r="I20" s="11">
        <v>96.0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5"/>
      <c r="U20" s="5"/>
      <c r="V20" s="5"/>
      <c r="W20" s="5"/>
      <c r="X20" s="5"/>
      <c r="Y20" s="5"/>
      <c r="Z20" s="5"/>
      <c r="AA20" s="5"/>
      <c r="AB20" s="5"/>
      <c r="AC20" s="5"/>
    </row>
    <row r="21" ht="9.75" customHeight="1">
      <c r="A21" s="1"/>
      <c r="B21" s="1"/>
      <c r="C21" s="1"/>
      <c r="D21" s="1"/>
      <c r="E21" s="1"/>
      <c r="F21" s="1"/>
      <c r="G21" s="1"/>
      <c r="H21" s="10"/>
      <c r="I21" s="12"/>
      <c r="J21" s="1"/>
      <c r="K21" s="1"/>
      <c r="L21" s="1"/>
      <c r="M21" s="1"/>
      <c r="N21" s="1"/>
      <c r="O21" s="1"/>
      <c r="P21" s="1"/>
      <c r="Q21" s="1"/>
      <c r="R21" s="1"/>
      <c r="S21" s="1"/>
      <c r="T21" s="5"/>
      <c r="U21" s="5"/>
      <c r="V21" s="5"/>
      <c r="W21" s="5"/>
      <c r="X21" s="5"/>
      <c r="Y21" s="5"/>
      <c r="Z21" s="5"/>
      <c r="AA21" s="5"/>
      <c r="AB21" s="5"/>
      <c r="AC21" s="5"/>
    </row>
    <row r="22" ht="15.75" customHeight="1">
      <c r="A22" s="1"/>
      <c r="B22" s="1"/>
      <c r="C22" s="13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"/>
      <c r="O22" s="1"/>
      <c r="P22" s="1"/>
      <c r="Q22" s="1"/>
      <c r="R22" s="1"/>
      <c r="S22" s="1"/>
      <c r="T22" s="5"/>
      <c r="U22" s="5"/>
      <c r="V22" s="5"/>
      <c r="W22" s="5"/>
      <c r="X22" s="5"/>
      <c r="Y22" s="5"/>
      <c r="Z22" s="5"/>
      <c r="AA22" s="5"/>
      <c r="AB22" s="5"/>
      <c r="AC22" s="5"/>
    </row>
    <row r="23" ht="15.75" customHeight="1">
      <c r="A23" s="1"/>
      <c r="B23" s="1"/>
      <c r="C23" s="1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"/>
      <c r="O23" s="1"/>
      <c r="P23" s="1"/>
      <c r="Q23" s="1"/>
      <c r="R23" s="1"/>
      <c r="S23" s="1"/>
      <c r="T23" s="5"/>
      <c r="U23" s="5"/>
      <c r="V23" s="5"/>
      <c r="W23" s="5"/>
      <c r="X23" s="5"/>
      <c r="Y23" s="5"/>
      <c r="Z23" s="5"/>
      <c r="AA23" s="5"/>
      <c r="AB23" s="5"/>
      <c r="AC23" s="5"/>
    </row>
    <row r="24" ht="15.75" customHeight="1">
      <c r="A24" s="1"/>
      <c r="B24" s="1"/>
      <c r="C24" s="1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5"/>
      <c r="U24" s="5"/>
      <c r="V24" s="5"/>
      <c r="W24" s="5"/>
      <c r="X24" s="5"/>
      <c r="Y24" s="5"/>
      <c r="Z24" s="5"/>
      <c r="AA24" s="5"/>
      <c r="AB24" s="5"/>
      <c r="AC24" s="5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5"/>
      <c r="U25" s="5"/>
      <c r="V25" s="5"/>
      <c r="W25" s="5"/>
      <c r="X25" s="5"/>
      <c r="Y25" s="5"/>
      <c r="Z25" s="5"/>
      <c r="AA25" s="5"/>
      <c r="AB25" s="5"/>
      <c r="AC25" s="5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5"/>
      <c r="U26" s="5"/>
      <c r="V26" s="5"/>
      <c r="W26" s="5"/>
      <c r="X26" s="5"/>
      <c r="Y26" s="5"/>
      <c r="Z26" s="5"/>
      <c r="AA26" s="5"/>
      <c r="AB26" s="5"/>
      <c r="AC26" s="5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5"/>
      <c r="U27" s="5"/>
      <c r="V27" s="5"/>
      <c r="W27" s="5"/>
      <c r="X27" s="5"/>
      <c r="Y27" s="5"/>
      <c r="Z27" s="5"/>
      <c r="AA27" s="5"/>
      <c r="AB27" s="5"/>
      <c r="AC27" s="5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5"/>
      <c r="U28" s="5"/>
      <c r="V28" s="5"/>
      <c r="W28" s="5"/>
      <c r="X28" s="5"/>
      <c r="Y28" s="5"/>
      <c r="Z28" s="5"/>
      <c r="AA28" s="5"/>
      <c r="AB28" s="5"/>
      <c r="AC28" s="5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5"/>
      <c r="U29" s="5"/>
      <c r="V29" s="5"/>
      <c r="W29" s="5"/>
      <c r="X29" s="5"/>
      <c r="Y29" s="5"/>
      <c r="Z29" s="5"/>
      <c r="AA29" s="5"/>
      <c r="AB29" s="5"/>
      <c r="AC29" s="5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5"/>
      <c r="U30" s="5"/>
      <c r="V30" s="5"/>
      <c r="W30" s="5"/>
      <c r="X30" s="5"/>
      <c r="Y30" s="5"/>
      <c r="Z30" s="5"/>
      <c r="AA30" s="5"/>
      <c r="AB30" s="5"/>
      <c r="AC30" s="5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5"/>
      <c r="U31" s="5"/>
      <c r="V31" s="5"/>
      <c r="W31" s="5"/>
      <c r="X31" s="5"/>
      <c r="Y31" s="5"/>
      <c r="Z31" s="5"/>
      <c r="AA31" s="5"/>
      <c r="AB31" s="5"/>
      <c r="AC31" s="5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5"/>
      <c r="U32" s="5"/>
      <c r="V32" s="5"/>
      <c r="W32" s="5"/>
      <c r="X32" s="5"/>
      <c r="Y32" s="5"/>
      <c r="Z32" s="5"/>
      <c r="AA32" s="5"/>
      <c r="AB32" s="5"/>
      <c r="AC32" s="5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5"/>
      <c r="U33" s="5"/>
      <c r="V33" s="5"/>
      <c r="W33" s="5"/>
      <c r="X33" s="5"/>
      <c r="Y33" s="5"/>
      <c r="Z33" s="5"/>
      <c r="AA33" s="5"/>
      <c r="AB33" s="5"/>
      <c r="AC33" s="5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5"/>
      <c r="U34" s="5"/>
      <c r="V34" s="5"/>
      <c r="W34" s="5"/>
      <c r="X34" s="5"/>
      <c r="Y34" s="5"/>
      <c r="Z34" s="5"/>
      <c r="AA34" s="5"/>
      <c r="AB34" s="5"/>
      <c r="AC34" s="5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5"/>
      <c r="U35" s="5"/>
      <c r="V35" s="5"/>
      <c r="W35" s="5"/>
      <c r="X35" s="5"/>
      <c r="Y35" s="5"/>
      <c r="Z35" s="5"/>
      <c r="AA35" s="5"/>
      <c r="AB35" s="5"/>
      <c r="AC35" s="5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5"/>
      <c r="U36" s="5"/>
      <c r="V36" s="5"/>
      <c r="W36" s="5"/>
      <c r="X36" s="5"/>
      <c r="Y36" s="5"/>
      <c r="Z36" s="5"/>
      <c r="AA36" s="5"/>
      <c r="AB36" s="5"/>
      <c r="AC36" s="5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5"/>
      <c r="U37" s="5"/>
      <c r="V37" s="5"/>
      <c r="W37" s="5"/>
      <c r="X37" s="5"/>
      <c r="Y37" s="5"/>
      <c r="Z37" s="5"/>
      <c r="AA37" s="5"/>
      <c r="AB37" s="5"/>
      <c r="AC37" s="5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5"/>
      <c r="U38" s="5"/>
      <c r="V38" s="5"/>
      <c r="W38" s="5"/>
      <c r="X38" s="5"/>
      <c r="Y38" s="5"/>
      <c r="Z38" s="5"/>
      <c r="AA38" s="5"/>
      <c r="AB38" s="5"/>
      <c r="AC38" s="5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5"/>
      <c r="U39" s="5"/>
      <c r="V39" s="5"/>
      <c r="W39" s="5"/>
      <c r="X39" s="5"/>
      <c r="Y39" s="5"/>
      <c r="Z39" s="5"/>
      <c r="AA39" s="5"/>
      <c r="AB39" s="5"/>
      <c r="AC39" s="5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5"/>
      <c r="U40" s="5"/>
      <c r="V40" s="5"/>
      <c r="W40" s="5"/>
      <c r="X40" s="5"/>
      <c r="Y40" s="5"/>
      <c r="Z40" s="5"/>
      <c r="AA40" s="5"/>
      <c r="AB40" s="5"/>
      <c r="AC40" s="5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5"/>
      <c r="U41" s="5"/>
      <c r="V41" s="5"/>
      <c r="W41" s="5"/>
      <c r="X41" s="5"/>
      <c r="Y41" s="5"/>
      <c r="Z41" s="5"/>
      <c r="AA41" s="5"/>
      <c r="AB41" s="5"/>
      <c r="AC41" s="5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5"/>
      <c r="U42" s="5"/>
      <c r="V42" s="5"/>
      <c r="W42" s="5"/>
      <c r="X42" s="5"/>
      <c r="Y42" s="5"/>
      <c r="Z42" s="5"/>
      <c r="AA42" s="5"/>
      <c r="AB42" s="5"/>
      <c r="AC42" s="5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5"/>
      <c r="U43" s="5"/>
      <c r="V43" s="5"/>
      <c r="W43" s="5"/>
      <c r="X43" s="5"/>
      <c r="Y43" s="5"/>
      <c r="Z43" s="5"/>
      <c r="AA43" s="5"/>
      <c r="AB43" s="5"/>
      <c r="AC43" s="5"/>
    </row>
    <row r="44" ht="15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</row>
    <row r="45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</row>
    <row r="46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</row>
    <row r="47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</row>
    <row r="4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</row>
    <row r="49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</row>
    <row r="5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</row>
    <row r="51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</row>
    <row r="52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</row>
    <row r="53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</row>
    <row r="54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</row>
    <row r="55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</row>
    <row r="56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</row>
    <row r="57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</row>
    <row r="5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</row>
    <row r="59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</row>
    <row r="6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</row>
    <row r="61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</row>
    <row r="62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</row>
    <row r="63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</row>
    <row r="64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</row>
    <row r="65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</row>
    <row r="66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</row>
    <row r="67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</row>
    <row r="6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</row>
    <row r="69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</row>
    <row r="7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</row>
    <row r="71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</row>
    <row r="72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</row>
    <row r="73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</row>
    <row r="74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</row>
    <row r="75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</row>
    <row r="76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</row>
    <row r="77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</row>
    <row r="7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</row>
    <row r="79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</row>
    <row r="8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</row>
  </sheetData>
  <mergeCells count="1">
    <mergeCell ref="C1:N1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CCCC"/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9.14"/>
    <col customWidth="1" min="2" max="2" width="6.71"/>
    <col customWidth="1" min="3" max="3" width="12.0"/>
    <col customWidth="1" min="4" max="4" width="25.71"/>
    <col customWidth="1" min="5" max="8" width="15.71"/>
    <col customWidth="1" min="9" max="9" width="12.57"/>
    <col customWidth="1" min="10" max="14" width="9.14"/>
    <col customWidth="1" min="15" max="26" width="8.0"/>
  </cols>
  <sheetData>
    <row r="1" ht="19.5" customHeight="1">
      <c r="A1" s="16"/>
      <c r="B1" s="16"/>
      <c r="C1" s="17" t="s">
        <v>15</v>
      </c>
      <c r="D1" s="18"/>
      <c r="E1" s="18"/>
      <c r="F1" s="18"/>
      <c r="G1" s="18"/>
      <c r="H1" s="18"/>
      <c r="I1" s="19"/>
      <c r="J1" s="16"/>
      <c r="K1" s="16"/>
      <c r="L1" s="16"/>
      <c r="M1" s="16"/>
      <c r="N1" s="16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30.0" customHeight="1">
      <c r="A2" s="21"/>
      <c r="B2" s="21"/>
      <c r="C2" s="22" t="s">
        <v>16</v>
      </c>
      <c r="D2" s="22" t="s">
        <v>17</v>
      </c>
      <c r="E2" s="22" t="s">
        <v>18</v>
      </c>
      <c r="F2" s="23" t="s">
        <v>19</v>
      </c>
      <c r="G2" s="23" t="s">
        <v>20</v>
      </c>
      <c r="H2" s="23" t="s">
        <v>21</v>
      </c>
      <c r="I2" s="24" t="s">
        <v>22</v>
      </c>
      <c r="J2" s="21"/>
      <c r="K2" s="21"/>
      <c r="L2" s="21"/>
      <c r="M2" s="21"/>
      <c r="N2" s="21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21"/>
      <c r="B3" s="21"/>
      <c r="C3" s="25" t="s">
        <v>23</v>
      </c>
      <c r="D3" s="26" t="s">
        <v>24</v>
      </c>
      <c r="E3" s="27"/>
      <c r="F3" s="28"/>
      <c r="G3" s="29"/>
      <c r="H3" s="29"/>
      <c r="I3" s="29"/>
      <c r="J3" s="21"/>
      <c r="K3" s="21"/>
      <c r="L3" s="21"/>
      <c r="M3" s="21"/>
      <c r="N3" s="21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21"/>
      <c r="B4" s="21"/>
      <c r="C4" s="25"/>
      <c r="D4" s="26" t="s">
        <v>25</v>
      </c>
      <c r="E4" s="27"/>
      <c r="F4" s="29"/>
      <c r="G4" s="29"/>
      <c r="H4" s="29"/>
      <c r="I4" s="29"/>
      <c r="J4" s="21"/>
      <c r="K4" s="21"/>
      <c r="L4" s="21"/>
      <c r="M4" s="21"/>
      <c r="N4" s="21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21"/>
      <c r="B5" s="21"/>
      <c r="C5" s="25"/>
      <c r="D5" s="26" t="s">
        <v>26</v>
      </c>
      <c r="E5" s="27"/>
      <c r="F5" s="29"/>
      <c r="G5" s="29"/>
      <c r="H5" s="29"/>
      <c r="I5" s="29"/>
      <c r="J5" s="21"/>
      <c r="K5" s="21"/>
      <c r="L5" s="21"/>
      <c r="M5" s="21"/>
      <c r="N5" s="21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21"/>
      <c r="B6" s="21"/>
      <c r="C6" s="25"/>
      <c r="D6" s="26" t="s">
        <v>27</v>
      </c>
      <c r="E6" s="27"/>
      <c r="F6" s="29"/>
      <c r="G6" s="29"/>
      <c r="H6" s="29"/>
      <c r="I6" s="29"/>
      <c r="J6" s="21"/>
      <c r="K6" s="21"/>
      <c r="L6" s="21"/>
      <c r="M6" s="21"/>
      <c r="N6" s="21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21"/>
      <c r="B7" s="21"/>
      <c r="C7" s="25"/>
      <c r="D7" s="26" t="s">
        <v>28</v>
      </c>
      <c r="E7" s="27"/>
      <c r="F7" s="29"/>
      <c r="G7" s="29"/>
      <c r="H7" s="29"/>
      <c r="I7" s="29"/>
      <c r="J7" s="21"/>
      <c r="K7" s="21"/>
      <c r="L7" s="21"/>
      <c r="M7" s="21"/>
      <c r="N7" s="21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21"/>
      <c r="B8" s="21"/>
      <c r="C8" s="25"/>
      <c r="D8" s="26" t="s">
        <v>29</v>
      </c>
      <c r="E8" s="27"/>
      <c r="F8" s="29"/>
      <c r="G8" s="29"/>
      <c r="H8" s="29"/>
      <c r="I8" s="29"/>
      <c r="J8" s="21"/>
      <c r="K8" s="21"/>
      <c r="L8" s="21"/>
      <c r="M8" s="21"/>
      <c r="N8" s="21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21"/>
      <c r="B9" s="21"/>
      <c r="C9" s="25" t="s">
        <v>30</v>
      </c>
      <c r="D9" s="26" t="s">
        <v>24</v>
      </c>
      <c r="E9" s="27"/>
      <c r="F9" s="29"/>
      <c r="G9" s="29"/>
      <c r="H9" s="29"/>
      <c r="I9" s="29"/>
      <c r="J9" s="21"/>
      <c r="K9" s="21"/>
      <c r="L9" s="21"/>
      <c r="M9" s="21"/>
      <c r="N9" s="21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21"/>
      <c r="B10" s="21"/>
      <c r="C10" s="25"/>
      <c r="D10" s="26" t="s">
        <v>25</v>
      </c>
      <c r="E10" s="27"/>
      <c r="F10" s="29"/>
      <c r="G10" s="29"/>
      <c r="H10" s="29"/>
      <c r="I10" s="29"/>
      <c r="J10" s="21"/>
      <c r="K10" s="21"/>
      <c r="L10" s="21"/>
      <c r="M10" s="21"/>
      <c r="N10" s="21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21"/>
      <c r="B11" s="21"/>
      <c r="C11" s="25"/>
      <c r="D11" s="26" t="s">
        <v>26</v>
      </c>
      <c r="E11" s="27"/>
      <c r="F11" s="29"/>
      <c r="G11" s="29"/>
      <c r="H11" s="29"/>
      <c r="I11" s="29"/>
      <c r="J11" s="21"/>
      <c r="K11" s="21"/>
      <c r="L11" s="21"/>
      <c r="M11" s="21"/>
      <c r="N11" s="21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21"/>
      <c r="B12" s="21"/>
      <c r="C12" s="25"/>
      <c r="D12" s="26" t="s">
        <v>27</v>
      </c>
      <c r="E12" s="27"/>
      <c r="F12" s="29"/>
      <c r="G12" s="29"/>
      <c r="H12" s="29"/>
      <c r="I12" s="29"/>
      <c r="J12" s="21"/>
      <c r="K12" s="21"/>
      <c r="L12" s="21"/>
      <c r="M12" s="21"/>
      <c r="N12" s="21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21"/>
      <c r="B13" s="21"/>
      <c r="C13" s="25"/>
      <c r="D13" s="26" t="s">
        <v>28</v>
      </c>
      <c r="E13" s="27"/>
      <c r="F13" s="29"/>
      <c r="G13" s="30"/>
      <c r="H13" s="29"/>
      <c r="I13" s="29"/>
      <c r="J13" s="21"/>
      <c r="K13" s="21"/>
      <c r="L13" s="21"/>
      <c r="M13" s="21"/>
      <c r="N13" s="21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21"/>
      <c r="B14" s="21"/>
      <c r="C14" s="25"/>
      <c r="D14" s="26" t="s">
        <v>29</v>
      </c>
      <c r="E14" s="27"/>
      <c r="F14" s="29"/>
      <c r="G14" s="30"/>
      <c r="H14" s="29"/>
      <c r="I14" s="29"/>
      <c r="J14" s="21"/>
      <c r="K14" s="21"/>
      <c r="L14" s="21"/>
      <c r="M14" s="21"/>
      <c r="N14" s="21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21"/>
      <c r="B15" s="21"/>
      <c r="C15" s="25" t="s">
        <v>31</v>
      </c>
      <c r="D15" s="26" t="s">
        <v>24</v>
      </c>
      <c r="E15" s="27"/>
      <c r="F15" s="29"/>
      <c r="G15" s="30"/>
      <c r="H15" s="29"/>
      <c r="I15" s="29"/>
      <c r="J15" s="21"/>
      <c r="K15" s="21"/>
      <c r="L15" s="21"/>
      <c r="M15" s="21"/>
      <c r="N15" s="21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21"/>
      <c r="B16" s="21"/>
      <c r="C16" s="25"/>
      <c r="D16" s="26" t="s">
        <v>25</v>
      </c>
      <c r="E16" s="27"/>
      <c r="F16" s="29"/>
      <c r="G16" s="30"/>
      <c r="H16" s="29"/>
      <c r="I16" s="29"/>
      <c r="J16" s="21"/>
      <c r="K16" s="21"/>
      <c r="L16" s="21"/>
      <c r="M16" s="21"/>
      <c r="N16" s="21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21"/>
      <c r="B17" s="21"/>
      <c r="C17" s="25"/>
      <c r="D17" s="26" t="s">
        <v>26</v>
      </c>
      <c r="E17" s="27"/>
      <c r="F17" s="29"/>
      <c r="G17" s="29"/>
      <c r="H17" s="29"/>
      <c r="I17" s="29"/>
      <c r="J17" s="21"/>
      <c r="K17" s="21"/>
      <c r="L17" s="21"/>
      <c r="M17" s="21"/>
      <c r="N17" s="21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21"/>
      <c r="B18" s="21"/>
      <c r="C18" s="25"/>
      <c r="D18" s="26" t="s">
        <v>27</v>
      </c>
      <c r="E18" s="27"/>
      <c r="F18" s="29"/>
      <c r="G18" s="29"/>
      <c r="H18" s="29"/>
      <c r="I18" s="29"/>
      <c r="J18" s="21"/>
      <c r="K18" s="21"/>
      <c r="L18" s="21"/>
      <c r="M18" s="21"/>
      <c r="N18" s="21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21"/>
      <c r="B19" s="21"/>
      <c r="C19" s="25"/>
      <c r="D19" s="26" t="s">
        <v>28</v>
      </c>
      <c r="E19" s="27"/>
      <c r="F19" s="29"/>
      <c r="G19" s="29"/>
      <c r="H19" s="29"/>
      <c r="I19" s="29"/>
      <c r="J19" s="21"/>
      <c r="K19" s="21"/>
      <c r="L19" s="21"/>
      <c r="M19" s="21"/>
      <c r="N19" s="21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21"/>
      <c r="B20" s="21"/>
      <c r="C20" s="25"/>
      <c r="D20" s="26" t="s">
        <v>29</v>
      </c>
      <c r="E20" s="27"/>
      <c r="F20" s="29"/>
      <c r="G20" s="29"/>
      <c r="H20" s="29"/>
      <c r="I20" s="29"/>
      <c r="J20" s="21"/>
      <c r="K20" s="21"/>
      <c r="L20" s="21"/>
      <c r="M20" s="21"/>
      <c r="N20" s="21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5.75" customHeight="1">
      <c r="A21" s="21"/>
      <c r="B21" s="21"/>
      <c r="C21" s="25" t="s">
        <v>32</v>
      </c>
      <c r="D21" s="26" t="s">
        <v>24</v>
      </c>
      <c r="E21" s="27"/>
      <c r="F21" s="27"/>
      <c r="G21" s="27"/>
      <c r="H21" s="29"/>
      <c r="I21" s="29"/>
      <c r="J21" s="21"/>
      <c r="K21" s="21"/>
      <c r="L21" s="21"/>
      <c r="M21" s="21"/>
      <c r="N21" s="21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5.75" customHeight="1">
      <c r="A22" s="21"/>
      <c r="B22" s="21"/>
      <c r="C22" s="25"/>
      <c r="D22" s="26" t="s">
        <v>25</v>
      </c>
      <c r="E22" s="27"/>
      <c r="F22" s="27"/>
      <c r="G22" s="27"/>
      <c r="H22" s="29"/>
      <c r="I22" s="29"/>
      <c r="J22" s="21"/>
      <c r="K22" s="21"/>
      <c r="L22" s="21"/>
      <c r="M22" s="21"/>
      <c r="N22" s="21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5.75" customHeight="1">
      <c r="A23" s="21"/>
      <c r="B23" s="21"/>
      <c r="C23" s="25"/>
      <c r="D23" s="26" t="s">
        <v>26</v>
      </c>
      <c r="E23" s="27"/>
      <c r="F23" s="27"/>
      <c r="G23" s="27"/>
      <c r="H23" s="29"/>
      <c r="I23" s="29"/>
      <c r="J23" s="21"/>
      <c r="K23" s="21"/>
      <c r="L23" s="21"/>
      <c r="M23" s="21"/>
      <c r="N23" s="21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5.75" customHeight="1">
      <c r="A24" s="21"/>
      <c r="B24" s="21"/>
      <c r="C24" s="25"/>
      <c r="D24" s="26" t="s">
        <v>27</v>
      </c>
      <c r="E24" s="27"/>
      <c r="F24" s="27"/>
      <c r="G24" s="27"/>
      <c r="H24" s="29"/>
      <c r="I24" s="29"/>
      <c r="J24" s="21"/>
      <c r="K24" s="21"/>
      <c r="L24" s="21"/>
      <c r="M24" s="21"/>
      <c r="N24" s="21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5.75" customHeight="1">
      <c r="A25" s="21"/>
      <c r="B25" s="21"/>
      <c r="C25" s="25"/>
      <c r="D25" s="26" t="s">
        <v>28</v>
      </c>
      <c r="E25" s="27"/>
      <c r="F25" s="27"/>
      <c r="G25" s="27"/>
      <c r="H25" s="29"/>
      <c r="I25" s="29"/>
      <c r="J25" s="21"/>
      <c r="K25" s="21"/>
      <c r="L25" s="21"/>
      <c r="M25" s="21"/>
      <c r="N25" s="21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5.75" customHeight="1">
      <c r="A26" s="21"/>
      <c r="B26" s="21"/>
      <c r="C26" s="25"/>
      <c r="D26" s="26" t="s">
        <v>29</v>
      </c>
      <c r="E26" s="27"/>
      <c r="F26" s="27"/>
      <c r="G26" s="27"/>
      <c r="H26" s="29"/>
      <c r="I26" s="29"/>
      <c r="J26" s="21"/>
      <c r="K26" s="21"/>
      <c r="L26" s="21"/>
      <c r="M26" s="21"/>
      <c r="N26" s="21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5.75" customHeight="1">
      <c r="A27" s="21"/>
      <c r="B27" s="21"/>
      <c r="C27" s="25" t="s">
        <v>33</v>
      </c>
      <c r="D27" s="26" t="s">
        <v>24</v>
      </c>
      <c r="E27" s="27"/>
      <c r="F27" s="27"/>
      <c r="G27" s="27"/>
      <c r="H27" s="29"/>
      <c r="I27" s="29"/>
      <c r="J27" s="21"/>
      <c r="K27" s="21"/>
      <c r="L27" s="21"/>
      <c r="M27" s="21"/>
      <c r="N27" s="21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5.75" customHeight="1">
      <c r="A28" s="21"/>
      <c r="B28" s="21"/>
      <c r="C28" s="25"/>
      <c r="D28" s="26" t="s">
        <v>25</v>
      </c>
      <c r="E28" s="27"/>
      <c r="F28" s="27"/>
      <c r="G28" s="27"/>
      <c r="H28" s="29"/>
      <c r="I28" s="29"/>
      <c r="J28" s="21"/>
      <c r="K28" s="21"/>
      <c r="L28" s="21"/>
      <c r="M28" s="21"/>
      <c r="N28" s="21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75" customHeight="1">
      <c r="A29" s="21"/>
      <c r="B29" s="21"/>
      <c r="C29" s="25"/>
      <c r="D29" s="26" t="s">
        <v>26</v>
      </c>
      <c r="E29" s="27"/>
      <c r="F29" s="27"/>
      <c r="G29" s="27"/>
      <c r="H29" s="29"/>
      <c r="I29" s="29"/>
      <c r="J29" s="21"/>
      <c r="K29" s="21"/>
      <c r="L29" s="21"/>
      <c r="M29" s="21"/>
      <c r="N29" s="21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5.75" customHeight="1">
      <c r="A30" s="21"/>
      <c r="B30" s="21"/>
      <c r="C30" s="25"/>
      <c r="D30" s="26" t="s">
        <v>27</v>
      </c>
      <c r="E30" s="27"/>
      <c r="F30" s="27"/>
      <c r="G30" s="27"/>
      <c r="H30" s="29"/>
      <c r="I30" s="29"/>
      <c r="J30" s="21"/>
      <c r="K30" s="21"/>
      <c r="L30" s="21"/>
      <c r="M30" s="21"/>
      <c r="N30" s="21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21"/>
      <c r="B31" s="21"/>
      <c r="C31" s="25"/>
      <c r="D31" s="26" t="s">
        <v>28</v>
      </c>
      <c r="E31" s="27"/>
      <c r="F31" s="27"/>
      <c r="G31" s="27"/>
      <c r="H31" s="29"/>
      <c r="I31" s="29"/>
      <c r="J31" s="21"/>
      <c r="K31" s="21"/>
      <c r="L31" s="21"/>
      <c r="M31" s="21"/>
      <c r="N31" s="21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5.75" customHeight="1">
      <c r="A32" s="21"/>
      <c r="B32" s="21"/>
      <c r="C32" s="25"/>
      <c r="D32" s="26" t="s">
        <v>29</v>
      </c>
      <c r="E32" s="27"/>
      <c r="F32" s="27"/>
      <c r="G32" s="27"/>
      <c r="H32" s="29"/>
      <c r="I32" s="29"/>
      <c r="J32" s="21"/>
      <c r="K32" s="21"/>
      <c r="L32" s="21"/>
      <c r="M32" s="21"/>
      <c r="N32" s="21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5.75" customHeight="1">
      <c r="A33" s="21"/>
      <c r="B33" s="21"/>
      <c r="C33" s="25" t="s">
        <v>34</v>
      </c>
      <c r="D33" s="26" t="s">
        <v>24</v>
      </c>
      <c r="E33" s="27"/>
      <c r="F33" s="27"/>
      <c r="G33" s="27"/>
      <c r="H33" s="29"/>
      <c r="I33" s="29"/>
      <c r="J33" s="21"/>
      <c r="K33" s="21"/>
      <c r="L33" s="21"/>
      <c r="M33" s="21"/>
      <c r="N33" s="21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5.75" customHeight="1">
      <c r="A34" s="21"/>
      <c r="B34" s="21"/>
      <c r="C34" s="25"/>
      <c r="D34" s="26" t="s">
        <v>25</v>
      </c>
      <c r="E34" s="27"/>
      <c r="F34" s="27"/>
      <c r="G34" s="27"/>
      <c r="H34" s="29"/>
      <c r="I34" s="29"/>
      <c r="J34" s="21"/>
      <c r="K34" s="21"/>
      <c r="L34" s="21"/>
      <c r="M34" s="21"/>
      <c r="N34" s="21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5.75" customHeight="1">
      <c r="A35" s="21"/>
      <c r="B35" s="21"/>
      <c r="C35" s="25"/>
      <c r="D35" s="26" t="s">
        <v>26</v>
      </c>
      <c r="E35" s="27"/>
      <c r="F35" s="27"/>
      <c r="G35" s="27"/>
      <c r="H35" s="29"/>
      <c r="I35" s="29"/>
      <c r="J35" s="21"/>
      <c r="K35" s="21"/>
      <c r="L35" s="21"/>
      <c r="M35" s="21"/>
      <c r="N35" s="21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5.75" customHeight="1">
      <c r="A36" s="21"/>
      <c r="B36" s="21"/>
      <c r="C36" s="25"/>
      <c r="D36" s="26" t="s">
        <v>27</v>
      </c>
      <c r="E36" s="27"/>
      <c r="F36" s="27"/>
      <c r="G36" s="27"/>
      <c r="H36" s="29"/>
      <c r="I36" s="29"/>
      <c r="J36" s="21"/>
      <c r="K36" s="21"/>
      <c r="L36" s="21"/>
      <c r="M36" s="21"/>
      <c r="N36" s="21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75" customHeight="1">
      <c r="A37" s="21"/>
      <c r="B37" s="21"/>
      <c r="C37" s="25"/>
      <c r="D37" s="26" t="s">
        <v>28</v>
      </c>
      <c r="E37" s="27"/>
      <c r="F37" s="27"/>
      <c r="G37" s="27"/>
      <c r="H37" s="29"/>
      <c r="I37" s="29"/>
      <c r="J37" s="21"/>
      <c r="K37" s="21"/>
      <c r="L37" s="21"/>
      <c r="M37" s="21"/>
      <c r="N37" s="21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5.75" customHeight="1">
      <c r="A38" s="21"/>
      <c r="B38" s="21"/>
      <c r="C38" s="25"/>
      <c r="D38" s="26" t="s">
        <v>29</v>
      </c>
      <c r="E38" s="27"/>
      <c r="F38" s="27"/>
      <c r="G38" s="27"/>
      <c r="H38" s="29"/>
      <c r="I38" s="29"/>
      <c r="J38" s="21"/>
      <c r="K38" s="21"/>
      <c r="L38" s="21"/>
      <c r="M38" s="21"/>
      <c r="N38" s="21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5.75" customHeight="1">
      <c r="A39" s="21"/>
      <c r="B39" s="21"/>
      <c r="C39" s="25" t="s">
        <v>35</v>
      </c>
      <c r="D39" s="26" t="s">
        <v>24</v>
      </c>
      <c r="E39" s="27"/>
      <c r="F39" s="27"/>
      <c r="G39" s="27"/>
      <c r="H39" s="29"/>
      <c r="I39" s="29"/>
      <c r="J39" s="21"/>
      <c r="K39" s="21"/>
      <c r="L39" s="21"/>
      <c r="M39" s="21"/>
      <c r="N39" s="21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5.75" customHeight="1">
      <c r="A40" s="21"/>
      <c r="B40" s="21"/>
      <c r="C40" s="25"/>
      <c r="D40" s="26" t="s">
        <v>25</v>
      </c>
      <c r="E40" s="27"/>
      <c r="F40" s="27"/>
      <c r="G40" s="27"/>
      <c r="H40" s="29"/>
      <c r="I40" s="29"/>
      <c r="J40" s="21"/>
      <c r="K40" s="21"/>
      <c r="L40" s="21"/>
      <c r="M40" s="21"/>
      <c r="N40" s="21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5.75" customHeight="1">
      <c r="A41" s="21"/>
      <c r="B41" s="21"/>
      <c r="C41" s="25"/>
      <c r="D41" s="26" t="s">
        <v>26</v>
      </c>
      <c r="E41" s="27"/>
      <c r="F41" s="27"/>
      <c r="G41" s="27"/>
      <c r="H41" s="29"/>
      <c r="I41" s="29"/>
      <c r="J41" s="21"/>
      <c r="K41" s="21"/>
      <c r="L41" s="21"/>
      <c r="M41" s="21"/>
      <c r="N41" s="21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21"/>
      <c r="B42" s="21"/>
      <c r="C42" s="25"/>
      <c r="D42" s="26" t="s">
        <v>27</v>
      </c>
      <c r="E42" s="27"/>
      <c r="F42" s="27"/>
      <c r="G42" s="27"/>
      <c r="H42" s="29"/>
      <c r="I42" s="29"/>
      <c r="J42" s="21"/>
      <c r="K42" s="21"/>
      <c r="L42" s="21"/>
      <c r="M42" s="21"/>
      <c r="N42" s="21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5.75" customHeight="1">
      <c r="A43" s="21"/>
      <c r="B43" s="21"/>
      <c r="C43" s="25"/>
      <c r="D43" s="26" t="s">
        <v>28</v>
      </c>
      <c r="E43" s="27"/>
      <c r="F43" s="27"/>
      <c r="G43" s="27"/>
      <c r="H43" s="29"/>
      <c r="I43" s="29"/>
      <c r="J43" s="21"/>
      <c r="K43" s="21"/>
      <c r="L43" s="21"/>
      <c r="M43" s="21"/>
      <c r="N43" s="21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5.75" customHeight="1">
      <c r="A44" s="21"/>
      <c r="B44" s="21"/>
      <c r="C44" s="25"/>
      <c r="D44" s="26" t="s">
        <v>29</v>
      </c>
      <c r="E44" s="27"/>
      <c r="F44" s="27"/>
      <c r="G44" s="27"/>
      <c r="H44" s="29"/>
      <c r="I44" s="29"/>
      <c r="J44" s="21"/>
      <c r="K44" s="21"/>
      <c r="L44" s="21"/>
      <c r="M44" s="21"/>
      <c r="N44" s="21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5.75" customHeight="1">
      <c r="A45" s="21"/>
      <c r="B45" s="21"/>
      <c r="C45" s="25" t="s">
        <v>36</v>
      </c>
      <c r="D45" s="26" t="s">
        <v>24</v>
      </c>
      <c r="E45" s="27"/>
      <c r="F45" s="27"/>
      <c r="G45" s="27"/>
      <c r="H45" s="29"/>
      <c r="I45" s="29"/>
      <c r="J45" s="21"/>
      <c r="K45" s="21"/>
      <c r="L45" s="21"/>
      <c r="M45" s="21"/>
      <c r="N45" s="21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5.75" customHeight="1">
      <c r="A46" s="21"/>
      <c r="B46" s="21"/>
      <c r="C46" s="25"/>
      <c r="D46" s="26" t="s">
        <v>25</v>
      </c>
      <c r="E46" s="27"/>
      <c r="F46" s="27"/>
      <c r="G46" s="27"/>
      <c r="H46" s="29"/>
      <c r="I46" s="29"/>
      <c r="J46" s="21"/>
      <c r="K46" s="21"/>
      <c r="L46" s="21"/>
      <c r="M46" s="21"/>
      <c r="N46" s="21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5.75" customHeight="1">
      <c r="A47" s="21"/>
      <c r="B47" s="21"/>
      <c r="C47" s="25"/>
      <c r="D47" s="26" t="s">
        <v>26</v>
      </c>
      <c r="E47" s="27"/>
      <c r="F47" s="27"/>
      <c r="G47" s="27"/>
      <c r="H47" s="29"/>
      <c r="I47" s="29"/>
      <c r="J47" s="21"/>
      <c r="K47" s="21"/>
      <c r="L47" s="21"/>
      <c r="M47" s="21"/>
      <c r="N47" s="21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5.75" customHeight="1">
      <c r="A48" s="21"/>
      <c r="B48" s="21"/>
      <c r="C48" s="25"/>
      <c r="D48" s="26" t="s">
        <v>27</v>
      </c>
      <c r="E48" s="27"/>
      <c r="F48" s="27"/>
      <c r="G48" s="31"/>
      <c r="H48" s="29"/>
      <c r="I48" s="29"/>
      <c r="J48" s="21"/>
      <c r="K48" s="21"/>
      <c r="L48" s="21"/>
      <c r="M48" s="21"/>
      <c r="N48" s="21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5.75" customHeight="1">
      <c r="A49" s="21"/>
      <c r="B49" s="21"/>
      <c r="C49" s="25"/>
      <c r="D49" s="26" t="s">
        <v>28</v>
      </c>
      <c r="E49" s="27"/>
      <c r="F49" s="27"/>
      <c r="G49" s="31"/>
      <c r="H49" s="29"/>
      <c r="I49" s="29"/>
      <c r="J49" s="21"/>
      <c r="K49" s="21"/>
      <c r="L49" s="21"/>
      <c r="M49" s="21"/>
      <c r="N49" s="21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5.75" customHeight="1">
      <c r="A50" s="21"/>
      <c r="B50" s="21"/>
      <c r="C50" s="25"/>
      <c r="D50" s="26" t="s">
        <v>29</v>
      </c>
      <c r="E50" s="27"/>
      <c r="F50" s="27"/>
      <c r="G50" s="31"/>
      <c r="H50" s="29"/>
      <c r="I50" s="29"/>
      <c r="J50" s="21"/>
      <c r="K50" s="21"/>
      <c r="L50" s="21"/>
      <c r="M50" s="21"/>
      <c r="N50" s="21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5.75" customHeight="1">
      <c r="A51" s="21"/>
      <c r="B51" s="21"/>
      <c r="C51" s="25" t="s">
        <v>37</v>
      </c>
      <c r="D51" s="26" t="s">
        <v>24</v>
      </c>
      <c r="E51" s="27"/>
      <c r="F51" s="27"/>
      <c r="G51" s="31"/>
      <c r="H51" s="29"/>
      <c r="I51" s="29"/>
      <c r="J51" s="21"/>
      <c r="K51" s="21"/>
      <c r="L51" s="21"/>
      <c r="M51" s="21"/>
      <c r="N51" s="21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5.75" customHeight="1">
      <c r="A52" s="21"/>
      <c r="B52" s="21"/>
      <c r="C52" s="25"/>
      <c r="D52" s="26" t="s">
        <v>25</v>
      </c>
      <c r="E52" s="27"/>
      <c r="F52" s="27"/>
      <c r="G52" s="31"/>
      <c r="H52" s="29"/>
      <c r="I52" s="29"/>
      <c r="J52" s="21"/>
      <c r="K52" s="21"/>
      <c r="L52" s="21"/>
      <c r="M52" s="21"/>
      <c r="N52" s="21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5.75" customHeight="1">
      <c r="A53" s="21"/>
      <c r="B53" s="21"/>
      <c r="C53" s="25"/>
      <c r="D53" s="26" t="s">
        <v>26</v>
      </c>
      <c r="E53" s="27"/>
      <c r="F53" s="27"/>
      <c r="G53" s="31"/>
      <c r="H53" s="29"/>
      <c r="I53" s="29"/>
      <c r="J53" s="21"/>
      <c r="K53" s="21"/>
      <c r="L53" s="21"/>
      <c r="M53" s="21"/>
      <c r="N53" s="21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5.75" customHeight="1">
      <c r="A54" s="21"/>
      <c r="B54" s="21"/>
      <c r="C54" s="25"/>
      <c r="D54" s="26" t="s">
        <v>27</v>
      </c>
      <c r="E54" s="27"/>
      <c r="F54" s="27"/>
      <c r="G54" s="31"/>
      <c r="H54" s="29"/>
      <c r="I54" s="29"/>
      <c r="J54" s="21"/>
      <c r="K54" s="21"/>
      <c r="L54" s="21"/>
      <c r="M54" s="21"/>
      <c r="N54" s="21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5.75" customHeight="1">
      <c r="A55" s="21"/>
      <c r="B55" s="21"/>
      <c r="C55" s="25"/>
      <c r="D55" s="26" t="s">
        <v>28</v>
      </c>
      <c r="E55" s="27"/>
      <c r="F55" s="27"/>
      <c r="G55" s="31"/>
      <c r="H55" s="29"/>
      <c r="I55" s="29"/>
      <c r="J55" s="21"/>
      <c r="K55" s="21"/>
      <c r="L55" s="21"/>
      <c r="M55" s="21"/>
      <c r="N55" s="21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21"/>
      <c r="B56" s="21"/>
      <c r="C56" s="25"/>
      <c r="D56" s="26" t="s">
        <v>29</v>
      </c>
      <c r="E56" s="27"/>
      <c r="F56" s="27"/>
      <c r="G56" s="31"/>
      <c r="H56" s="29"/>
      <c r="I56" s="29"/>
      <c r="J56" s="21"/>
      <c r="K56" s="21"/>
      <c r="L56" s="21"/>
      <c r="M56" s="21"/>
      <c r="N56" s="21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5.75" customHeight="1">
      <c r="A57" s="21"/>
      <c r="B57" s="21"/>
      <c r="C57" s="25" t="s">
        <v>38</v>
      </c>
      <c r="D57" s="26" t="s">
        <v>24</v>
      </c>
      <c r="E57" s="27"/>
      <c r="F57" s="32"/>
      <c r="G57" s="33"/>
      <c r="H57" s="27"/>
      <c r="I57" s="29"/>
      <c r="J57" s="21"/>
      <c r="K57" s="21"/>
      <c r="L57" s="21"/>
      <c r="M57" s="21"/>
      <c r="N57" s="21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5.75" customHeight="1">
      <c r="A58" s="21"/>
      <c r="B58" s="21"/>
      <c r="C58" s="25"/>
      <c r="D58" s="26" t="s">
        <v>25</v>
      </c>
      <c r="E58" s="27"/>
      <c r="F58" s="29"/>
      <c r="G58" s="29"/>
      <c r="H58" s="27"/>
      <c r="I58" s="29"/>
      <c r="J58" s="21"/>
      <c r="K58" s="21"/>
      <c r="L58" s="21"/>
      <c r="M58" s="21"/>
      <c r="N58" s="21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5.75" customHeight="1">
      <c r="A59" s="21"/>
      <c r="B59" s="21"/>
      <c r="C59" s="25"/>
      <c r="D59" s="26" t="s">
        <v>26</v>
      </c>
      <c r="E59" s="27"/>
      <c r="F59" s="29"/>
      <c r="G59" s="29"/>
      <c r="H59" s="27"/>
      <c r="I59" s="29"/>
      <c r="J59" s="21"/>
      <c r="K59" s="21"/>
      <c r="L59" s="21"/>
      <c r="M59" s="21"/>
      <c r="N59" s="21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5.75" customHeight="1">
      <c r="A60" s="21"/>
      <c r="B60" s="21"/>
      <c r="C60" s="25"/>
      <c r="D60" s="26" t="s">
        <v>27</v>
      </c>
      <c r="E60" s="27"/>
      <c r="F60" s="29"/>
      <c r="G60" s="29"/>
      <c r="H60" s="27"/>
      <c r="I60" s="29"/>
      <c r="J60" s="21"/>
      <c r="K60" s="21"/>
      <c r="L60" s="21"/>
      <c r="M60" s="21"/>
      <c r="N60" s="21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5.75" customHeight="1">
      <c r="A61" s="21"/>
      <c r="B61" s="21"/>
      <c r="C61" s="25"/>
      <c r="D61" s="26" t="s">
        <v>28</v>
      </c>
      <c r="E61" s="27"/>
      <c r="F61" s="29"/>
      <c r="G61" s="29"/>
      <c r="H61" s="27"/>
      <c r="I61" s="29"/>
      <c r="J61" s="21"/>
      <c r="K61" s="21"/>
      <c r="L61" s="21"/>
      <c r="M61" s="21"/>
      <c r="N61" s="21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5.75" customHeight="1">
      <c r="A62" s="21"/>
      <c r="B62" s="21"/>
      <c r="C62" s="25"/>
      <c r="D62" s="26" t="s">
        <v>29</v>
      </c>
      <c r="E62" s="27"/>
      <c r="F62" s="29"/>
      <c r="G62" s="29"/>
      <c r="H62" s="27"/>
      <c r="I62" s="29"/>
      <c r="J62" s="21"/>
      <c r="K62" s="21"/>
      <c r="L62" s="21"/>
      <c r="M62" s="21"/>
      <c r="N62" s="21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75" customHeight="1">
      <c r="A63" s="21"/>
      <c r="B63" s="21"/>
      <c r="C63" s="25" t="s">
        <v>39</v>
      </c>
      <c r="D63" s="34" t="s">
        <v>24</v>
      </c>
      <c r="E63" s="27"/>
      <c r="F63" s="29"/>
      <c r="G63" s="29"/>
      <c r="H63" s="5"/>
      <c r="I63" s="29"/>
      <c r="J63" s="21"/>
      <c r="K63" s="21"/>
      <c r="L63" s="21"/>
      <c r="M63" s="21"/>
      <c r="N63" s="21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75" customHeight="1">
      <c r="A64" s="21"/>
      <c r="B64" s="21"/>
      <c r="C64" s="25"/>
      <c r="D64" s="34" t="s">
        <v>25</v>
      </c>
      <c r="E64" s="27"/>
      <c r="F64" s="29"/>
      <c r="G64" s="29"/>
      <c r="H64" s="5"/>
      <c r="I64" s="29"/>
      <c r="J64" s="21"/>
      <c r="K64" s="21"/>
      <c r="L64" s="21"/>
      <c r="M64" s="21"/>
      <c r="N64" s="21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5.75" customHeight="1">
      <c r="A65" s="21"/>
      <c r="B65" s="21"/>
      <c r="C65" s="25"/>
      <c r="D65" s="34" t="s">
        <v>40</v>
      </c>
      <c r="E65" s="27"/>
      <c r="F65" s="29"/>
      <c r="G65" s="29"/>
      <c r="H65" s="5"/>
      <c r="I65" s="29"/>
      <c r="J65" s="21"/>
      <c r="K65" s="21"/>
      <c r="L65" s="21"/>
      <c r="M65" s="21"/>
      <c r="N65" s="21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5.75" customHeight="1">
      <c r="A66" s="21"/>
      <c r="B66" s="21"/>
      <c r="C66" s="25"/>
      <c r="D66" s="34" t="s">
        <v>41</v>
      </c>
      <c r="E66" s="27"/>
      <c r="F66" s="29"/>
      <c r="G66" s="29"/>
      <c r="H66" s="5"/>
      <c r="I66" s="29"/>
      <c r="J66" s="21"/>
      <c r="K66" s="21"/>
      <c r="L66" s="21"/>
      <c r="M66" s="21"/>
      <c r="N66" s="21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5.75" customHeight="1">
      <c r="A67" s="21"/>
      <c r="B67" s="21"/>
      <c r="C67" s="25"/>
      <c r="D67" s="34" t="s">
        <v>42</v>
      </c>
      <c r="E67" s="27"/>
      <c r="F67" s="35"/>
      <c r="G67" s="36"/>
      <c r="H67" s="37"/>
      <c r="I67" s="36"/>
      <c r="J67" s="21"/>
      <c r="K67" s="21"/>
      <c r="L67" s="21"/>
      <c r="M67" s="21"/>
      <c r="N67" s="21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5.75" customHeight="1">
      <c r="A68" s="21"/>
      <c r="B68" s="21"/>
      <c r="C68" s="25"/>
      <c r="D68" s="34" t="s">
        <v>43</v>
      </c>
      <c r="E68" s="27"/>
      <c r="F68" s="36"/>
      <c r="G68" s="36"/>
      <c r="H68" s="37"/>
      <c r="I68" s="36"/>
      <c r="J68" s="21"/>
      <c r="K68" s="21"/>
      <c r="L68" s="21"/>
      <c r="M68" s="21"/>
      <c r="N68" s="21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5.75" customHeight="1">
      <c r="A69" s="21"/>
      <c r="B69" s="21"/>
      <c r="C69" s="25"/>
      <c r="D69" s="34" t="s">
        <v>44</v>
      </c>
      <c r="E69" s="27"/>
      <c r="F69" s="36"/>
      <c r="G69" s="36"/>
      <c r="H69" s="37"/>
      <c r="I69" s="36"/>
      <c r="J69" s="21"/>
      <c r="K69" s="21"/>
      <c r="L69" s="21"/>
      <c r="M69" s="21"/>
      <c r="N69" s="21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5.75" customHeight="1">
      <c r="A70" s="21"/>
      <c r="B70" s="21"/>
      <c r="C70" s="25"/>
      <c r="D70" s="34" t="s">
        <v>45</v>
      </c>
      <c r="E70" s="27"/>
      <c r="F70" s="36"/>
      <c r="G70" s="36"/>
      <c r="H70" s="37"/>
      <c r="I70" s="36"/>
      <c r="J70" s="21"/>
      <c r="K70" s="21"/>
      <c r="L70" s="21"/>
      <c r="M70" s="21"/>
      <c r="N70" s="21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5.75" customHeight="1">
      <c r="A71" s="21"/>
      <c r="B71" s="21"/>
      <c r="C71" s="25"/>
      <c r="D71" s="34" t="s">
        <v>46</v>
      </c>
      <c r="E71" s="27"/>
      <c r="F71" s="29"/>
      <c r="G71" s="29"/>
      <c r="H71" s="5"/>
      <c r="I71" s="29"/>
      <c r="J71" s="21"/>
      <c r="K71" s="21"/>
      <c r="L71" s="21"/>
      <c r="M71" s="21"/>
      <c r="N71" s="21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5.75" customHeight="1">
      <c r="A72" s="21"/>
      <c r="B72" s="21"/>
      <c r="C72" s="25" t="s">
        <v>47</v>
      </c>
      <c r="D72" s="34" t="s">
        <v>24</v>
      </c>
      <c r="E72" s="27"/>
      <c r="F72" s="29"/>
      <c r="G72" s="29"/>
      <c r="H72" s="5"/>
      <c r="I72" s="29"/>
      <c r="J72" s="21"/>
      <c r="K72" s="21"/>
      <c r="L72" s="21"/>
      <c r="M72" s="21"/>
      <c r="N72" s="21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5.75" customHeight="1">
      <c r="A73" s="21"/>
      <c r="B73" s="21"/>
      <c r="C73" s="25"/>
      <c r="D73" s="34" t="s">
        <v>25</v>
      </c>
      <c r="E73" s="27"/>
      <c r="F73" s="29"/>
      <c r="G73" s="29"/>
      <c r="H73" s="5"/>
      <c r="I73" s="29"/>
      <c r="J73" s="21"/>
      <c r="K73" s="21"/>
      <c r="L73" s="21"/>
      <c r="M73" s="21"/>
      <c r="N73" s="21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75" customHeight="1">
      <c r="A74" s="21"/>
      <c r="B74" s="21"/>
      <c r="C74" s="25"/>
      <c r="D74" s="34" t="s">
        <v>40</v>
      </c>
      <c r="E74" s="27"/>
      <c r="F74" s="29"/>
      <c r="G74" s="29"/>
      <c r="H74" s="5"/>
      <c r="I74" s="29"/>
      <c r="J74" s="21"/>
      <c r="K74" s="21"/>
      <c r="L74" s="21"/>
      <c r="M74" s="21"/>
      <c r="N74" s="21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5.75" customHeight="1">
      <c r="A75" s="21"/>
      <c r="B75" s="21"/>
      <c r="C75" s="25"/>
      <c r="D75" s="34" t="s">
        <v>41</v>
      </c>
      <c r="E75" s="27"/>
      <c r="F75" s="29"/>
      <c r="G75" s="29"/>
      <c r="H75" s="5"/>
      <c r="I75" s="29"/>
      <c r="J75" s="21"/>
      <c r="K75" s="21"/>
      <c r="L75" s="21"/>
      <c r="M75" s="21"/>
      <c r="N75" s="21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5.75" customHeight="1">
      <c r="A76" s="21"/>
      <c r="B76" s="21"/>
      <c r="C76" s="25"/>
      <c r="D76" s="34" t="s">
        <v>42</v>
      </c>
      <c r="E76" s="27"/>
      <c r="F76" s="29"/>
      <c r="G76" s="29"/>
      <c r="H76" s="5"/>
      <c r="I76" s="29"/>
      <c r="J76" s="21"/>
      <c r="K76" s="21"/>
      <c r="L76" s="21"/>
      <c r="M76" s="21"/>
      <c r="N76" s="21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5.75" customHeight="1">
      <c r="A77" s="21"/>
      <c r="B77" s="21"/>
      <c r="C77" s="25"/>
      <c r="D77" s="34" t="s">
        <v>43</v>
      </c>
      <c r="E77" s="27"/>
      <c r="F77" s="29"/>
      <c r="G77" s="29"/>
      <c r="H77" s="5"/>
      <c r="I77" s="29"/>
      <c r="J77" s="21"/>
      <c r="K77" s="21"/>
      <c r="L77" s="21"/>
      <c r="M77" s="21"/>
      <c r="N77" s="21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5.75" customHeight="1">
      <c r="A78" s="21"/>
      <c r="B78" s="21"/>
      <c r="C78" s="25"/>
      <c r="D78" s="34" t="s">
        <v>44</v>
      </c>
      <c r="E78" s="27"/>
      <c r="F78" s="29"/>
      <c r="G78" s="29"/>
      <c r="H78" s="5"/>
      <c r="I78" s="29"/>
      <c r="J78" s="21"/>
      <c r="K78" s="21"/>
      <c r="L78" s="21"/>
      <c r="M78" s="21"/>
      <c r="N78" s="21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5.75" customHeight="1">
      <c r="A79" s="21"/>
      <c r="B79" s="21"/>
      <c r="C79" s="25"/>
      <c r="D79" s="34" t="s">
        <v>45</v>
      </c>
      <c r="E79" s="27"/>
      <c r="F79" s="29"/>
      <c r="G79" s="29"/>
      <c r="H79" s="5"/>
      <c r="I79" s="29"/>
      <c r="J79" s="21"/>
      <c r="K79" s="21"/>
      <c r="L79" s="21"/>
      <c r="M79" s="21"/>
      <c r="N79" s="21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5.75" customHeight="1">
      <c r="A80" s="21"/>
      <c r="B80" s="21"/>
      <c r="C80" s="25"/>
      <c r="D80" s="34" t="s">
        <v>46</v>
      </c>
      <c r="E80" s="27"/>
      <c r="F80" s="29"/>
      <c r="G80" s="29"/>
      <c r="H80" s="5"/>
      <c r="I80" s="29"/>
      <c r="J80" s="21"/>
      <c r="K80" s="21"/>
      <c r="L80" s="21"/>
      <c r="M80" s="21"/>
      <c r="N80" s="21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5.75" customHeight="1">
      <c r="A81" s="21"/>
      <c r="B81" s="21"/>
      <c r="C81" s="25" t="s">
        <v>48</v>
      </c>
      <c r="D81" s="34" t="s">
        <v>24</v>
      </c>
      <c r="E81" s="27"/>
      <c r="F81" s="29"/>
      <c r="G81" s="29"/>
      <c r="H81" s="29"/>
      <c r="I81" s="29"/>
      <c r="J81" s="21"/>
      <c r="K81" s="21"/>
      <c r="L81" s="21"/>
      <c r="M81" s="21"/>
      <c r="N81" s="21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5.75" customHeight="1">
      <c r="A82" s="21"/>
      <c r="B82" s="21"/>
      <c r="C82" s="25"/>
      <c r="D82" s="34" t="s">
        <v>25</v>
      </c>
      <c r="E82" s="27"/>
      <c r="F82" s="29"/>
      <c r="G82" s="29"/>
      <c r="H82" s="29"/>
      <c r="I82" s="29"/>
      <c r="J82" s="21"/>
      <c r="K82" s="21"/>
      <c r="L82" s="21"/>
      <c r="M82" s="21"/>
      <c r="N82" s="21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5.75" customHeight="1">
      <c r="A83" s="21"/>
      <c r="B83" s="21"/>
      <c r="C83" s="25"/>
      <c r="D83" s="34" t="s">
        <v>26</v>
      </c>
      <c r="E83" s="27"/>
      <c r="F83" s="29"/>
      <c r="G83" s="29"/>
      <c r="H83" s="29"/>
      <c r="I83" s="29"/>
      <c r="J83" s="21"/>
      <c r="K83" s="21"/>
      <c r="L83" s="21"/>
      <c r="M83" s="21"/>
      <c r="N83" s="21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5.75" customHeight="1">
      <c r="A84" s="21"/>
      <c r="B84" s="21"/>
      <c r="C84" s="25"/>
      <c r="D84" s="34" t="s">
        <v>27</v>
      </c>
      <c r="E84" s="27"/>
      <c r="F84" s="29"/>
      <c r="G84" s="29"/>
      <c r="H84" s="29"/>
      <c r="I84" s="29"/>
      <c r="J84" s="21"/>
      <c r="K84" s="21"/>
      <c r="L84" s="21"/>
      <c r="M84" s="21"/>
      <c r="N84" s="21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5.75" customHeight="1">
      <c r="A85" s="21"/>
      <c r="B85" s="21"/>
      <c r="C85" s="25"/>
      <c r="D85" s="34" t="s">
        <v>28</v>
      </c>
      <c r="E85" s="27"/>
      <c r="F85" s="29"/>
      <c r="G85" s="29"/>
      <c r="H85" s="29"/>
      <c r="I85" s="29"/>
      <c r="J85" s="21"/>
      <c r="K85" s="21"/>
      <c r="L85" s="21"/>
      <c r="M85" s="21"/>
      <c r="N85" s="21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5.75" customHeight="1">
      <c r="A86" s="21"/>
      <c r="B86" s="21"/>
      <c r="C86" s="25"/>
      <c r="D86" s="34" t="s">
        <v>29</v>
      </c>
      <c r="E86" s="27"/>
      <c r="F86" s="29"/>
      <c r="G86" s="29"/>
      <c r="H86" s="29"/>
      <c r="I86" s="29"/>
      <c r="J86" s="21"/>
      <c r="K86" s="21"/>
      <c r="L86" s="21"/>
      <c r="M86" s="21"/>
      <c r="N86" s="21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5.75" customHeight="1">
      <c r="A87" s="21"/>
      <c r="B87" s="21"/>
      <c r="C87" s="25">
        <v>1773.0</v>
      </c>
      <c r="D87" s="34" t="s">
        <v>24</v>
      </c>
      <c r="E87" s="27"/>
      <c r="F87" s="29"/>
      <c r="G87" s="29"/>
      <c r="H87" s="29"/>
      <c r="I87" s="29"/>
      <c r="J87" s="21"/>
      <c r="K87" s="21"/>
      <c r="L87" s="21"/>
      <c r="M87" s="21"/>
      <c r="N87" s="21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5.75" customHeight="1">
      <c r="A88" s="21"/>
      <c r="B88" s="21"/>
      <c r="C88" s="25"/>
      <c r="D88" s="34" t="s">
        <v>25</v>
      </c>
      <c r="E88" s="27"/>
      <c r="F88" s="29"/>
      <c r="G88" s="29"/>
      <c r="H88" s="29"/>
      <c r="I88" s="29"/>
      <c r="J88" s="21"/>
      <c r="K88" s="21"/>
      <c r="L88" s="21"/>
      <c r="M88" s="21"/>
      <c r="N88" s="21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5.75" customHeight="1">
      <c r="A89" s="21"/>
      <c r="B89" s="21"/>
      <c r="C89" s="25"/>
      <c r="D89" s="34" t="s">
        <v>26</v>
      </c>
      <c r="E89" s="27"/>
      <c r="F89" s="29"/>
      <c r="G89" s="29"/>
      <c r="H89" s="29"/>
      <c r="I89" s="29"/>
      <c r="J89" s="21"/>
      <c r="K89" s="21"/>
      <c r="L89" s="21"/>
      <c r="M89" s="21"/>
      <c r="N89" s="21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5.75" customHeight="1">
      <c r="A90" s="21"/>
      <c r="B90" s="21"/>
      <c r="C90" s="25"/>
      <c r="D90" s="34" t="s">
        <v>27</v>
      </c>
      <c r="E90" s="27"/>
      <c r="F90" s="29"/>
      <c r="G90" s="29"/>
      <c r="H90" s="29"/>
      <c r="I90" s="29"/>
      <c r="J90" s="21"/>
      <c r="K90" s="21"/>
      <c r="L90" s="21"/>
      <c r="M90" s="21"/>
      <c r="N90" s="21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5.75" customHeight="1">
      <c r="A91" s="21"/>
      <c r="B91" s="21"/>
      <c r="C91" s="25"/>
      <c r="D91" s="34" t="s">
        <v>28</v>
      </c>
      <c r="E91" s="27"/>
      <c r="F91" s="29"/>
      <c r="G91" s="29"/>
      <c r="H91" s="29"/>
      <c r="I91" s="29"/>
      <c r="J91" s="21"/>
      <c r="K91" s="21"/>
      <c r="L91" s="21"/>
      <c r="M91" s="21"/>
      <c r="N91" s="21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5.75" customHeight="1">
      <c r="A92" s="21"/>
      <c r="B92" s="21"/>
      <c r="C92" s="25"/>
      <c r="D92" s="34" t="s">
        <v>29</v>
      </c>
      <c r="E92" s="27"/>
      <c r="F92" s="29"/>
      <c r="G92" s="29"/>
      <c r="H92" s="29"/>
      <c r="I92" s="29"/>
      <c r="J92" s="21"/>
      <c r="K92" s="21"/>
      <c r="L92" s="21"/>
      <c r="M92" s="21"/>
      <c r="N92" s="21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5.75" customHeight="1">
      <c r="A93" s="21"/>
      <c r="B93" s="21"/>
      <c r="C93" s="25" t="s">
        <v>49</v>
      </c>
      <c r="D93" s="34" t="s">
        <v>24</v>
      </c>
      <c r="E93" s="27"/>
      <c r="F93" s="38"/>
      <c r="G93" s="29"/>
      <c r="H93" s="39"/>
      <c r="I93" s="28"/>
      <c r="J93" s="21"/>
      <c r="K93" s="21"/>
      <c r="L93" s="21"/>
      <c r="M93" s="21"/>
      <c r="N93" s="21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75" customHeight="1">
      <c r="A94" s="21"/>
      <c r="B94" s="21"/>
      <c r="C94" s="25"/>
      <c r="D94" s="34" t="s">
        <v>25</v>
      </c>
      <c r="E94" s="27"/>
      <c r="F94" s="29"/>
      <c r="G94" s="29"/>
      <c r="H94" s="40"/>
      <c r="I94" s="28"/>
      <c r="J94" s="21"/>
      <c r="K94" s="21"/>
      <c r="L94" s="21"/>
      <c r="M94" s="21"/>
      <c r="N94" s="21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75" customHeight="1">
      <c r="A95" s="21"/>
      <c r="B95" s="21"/>
      <c r="C95" s="25"/>
      <c r="D95" s="34" t="s">
        <v>26</v>
      </c>
      <c r="E95" s="27"/>
      <c r="F95" s="29"/>
      <c r="G95" s="29"/>
      <c r="H95" s="40"/>
      <c r="I95" s="28"/>
      <c r="J95" s="21"/>
      <c r="K95" s="21"/>
      <c r="L95" s="21"/>
      <c r="M95" s="21"/>
      <c r="N95" s="21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75" customHeight="1">
      <c r="A96" s="21"/>
      <c r="B96" s="21"/>
      <c r="C96" s="25"/>
      <c r="D96" s="34" t="s">
        <v>27</v>
      </c>
      <c r="E96" s="27"/>
      <c r="F96" s="29"/>
      <c r="G96" s="29"/>
      <c r="H96" s="40"/>
      <c r="I96" s="28"/>
      <c r="J96" s="21"/>
      <c r="K96" s="21"/>
      <c r="L96" s="21"/>
      <c r="M96" s="21"/>
      <c r="N96" s="21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75" customHeight="1">
      <c r="A97" s="21"/>
      <c r="B97" s="21"/>
      <c r="C97" s="25"/>
      <c r="D97" s="34" t="s">
        <v>28</v>
      </c>
      <c r="E97" s="27"/>
      <c r="F97" s="29"/>
      <c r="G97" s="29"/>
      <c r="H97" s="40"/>
      <c r="I97" s="28"/>
      <c r="J97" s="21"/>
      <c r="K97" s="21"/>
      <c r="L97" s="21"/>
      <c r="M97" s="21"/>
      <c r="N97" s="21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75" customHeight="1">
      <c r="A98" s="21"/>
      <c r="B98" s="21"/>
      <c r="C98" s="25"/>
      <c r="D98" s="34" t="s">
        <v>29</v>
      </c>
      <c r="E98" s="27"/>
      <c r="F98" s="29"/>
      <c r="G98" s="29"/>
      <c r="H98" s="40"/>
      <c r="I98" s="28"/>
      <c r="J98" s="21"/>
      <c r="K98" s="21"/>
      <c r="L98" s="21"/>
      <c r="M98" s="21"/>
      <c r="N98" s="21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75" customHeight="1">
      <c r="A99" s="21"/>
      <c r="B99" s="21"/>
      <c r="C99" s="25" t="s">
        <v>50</v>
      </c>
      <c r="D99" s="34" t="s">
        <v>24</v>
      </c>
      <c r="E99" s="27"/>
      <c r="F99" s="29"/>
      <c r="G99" s="29"/>
      <c r="H99" s="40"/>
      <c r="I99" s="28"/>
      <c r="J99" s="21"/>
      <c r="K99" s="21"/>
      <c r="L99" s="21"/>
      <c r="M99" s="21"/>
      <c r="N99" s="21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75" customHeight="1">
      <c r="A100" s="21"/>
      <c r="B100" s="21"/>
      <c r="C100" s="25"/>
      <c r="D100" s="34" t="s">
        <v>25</v>
      </c>
      <c r="E100" s="27"/>
      <c r="F100" s="29"/>
      <c r="G100" s="29"/>
      <c r="H100" s="40"/>
      <c r="I100" s="28"/>
      <c r="J100" s="21"/>
      <c r="K100" s="21"/>
      <c r="L100" s="21"/>
      <c r="M100" s="21"/>
      <c r="N100" s="21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75" customHeight="1">
      <c r="A101" s="21"/>
      <c r="B101" s="21"/>
      <c r="C101" s="25"/>
      <c r="D101" s="34" t="s">
        <v>40</v>
      </c>
      <c r="E101" s="27"/>
      <c r="F101" s="29"/>
      <c r="G101" s="29"/>
      <c r="H101" s="40"/>
      <c r="I101" s="28"/>
      <c r="J101" s="21"/>
      <c r="K101" s="21"/>
      <c r="L101" s="21"/>
      <c r="M101" s="21"/>
      <c r="N101" s="21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75" customHeight="1">
      <c r="A102" s="21"/>
      <c r="B102" s="21"/>
      <c r="C102" s="25"/>
      <c r="D102" s="34" t="s">
        <v>41</v>
      </c>
      <c r="E102" s="27"/>
      <c r="F102" s="29"/>
      <c r="G102" s="29"/>
      <c r="H102" s="40"/>
      <c r="I102" s="28"/>
      <c r="J102" s="21"/>
      <c r="K102" s="21"/>
      <c r="L102" s="21"/>
      <c r="M102" s="21"/>
      <c r="N102" s="21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75" customHeight="1">
      <c r="A103" s="21"/>
      <c r="B103" s="21"/>
      <c r="C103" s="25"/>
      <c r="D103" s="34" t="s">
        <v>27</v>
      </c>
      <c r="E103" s="27"/>
      <c r="F103" s="29"/>
      <c r="G103" s="29"/>
      <c r="H103" s="40"/>
      <c r="I103" s="28"/>
      <c r="J103" s="21"/>
      <c r="K103" s="21"/>
      <c r="L103" s="21"/>
      <c r="M103" s="21"/>
      <c r="N103" s="21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75" customHeight="1">
      <c r="A104" s="21"/>
      <c r="B104" s="21"/>
      <c r="C104" s="25"/>
      <c r="D104" s="34" t="s">
        <v>28</v>
      </c>
      <c r="E104" s="27"/>
      <c r="F104" s="29"/>
      <c r="G104" s="29"/>
      <c r="H104" s="40"/>
      <c r="I104" s="28"/>
      <c r="J104" s="21"/>
      <c r="K104" s="21"/>
      <c r="L104" s="21"/>
      <c r="M104" s="21"/>
      <c r="N104" s="21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75" customHeight="1">
      <c r="A105" s="21"/>
      <c r="B105" s="21"/>
      <c r="C105" s="25"/>
      <c r="D105" s="34" t="s">
        <v>29</v>
      </c>
      <c r="E105" s="27"/>
      <c r="F105" s="29"/>
      <c r="G105" s="29"/>
      <c r="H105" s="40"/>
      <c r="I105" s="28"/>
      <c r="J105" s="21"/>
      <c r="K105" s="21"/>
      <c r="L105" s="21"/>
      <c r="M105" s="21"/>
      <c r="N105" s="21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75" customHeight="1">
      <c r="A106" s="21"/>
      <c r="B106" s="21"/>
      <c r="C106" s="25"/>
      <c r="D106" s="34" t="s">
        <v>51</v>
      </c>
      <c r="E106" s="27"/>
      <c r="F106" s="29"/>
      <c r="G106" s="29"/>
      <c r="H106" s="40"/>
      <c r="I106" s="28"/>
      <c r="J106" s="21"/>
      <c r="K106" s="21"/>
      <c r="L106" s="21"/>
      <c r="M106" s="21"/>
      <c r="N106" s="21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75" customHeight="1">
      <c r="A107" s="21"/>
      <c r="B107" s="21"/>
      <c r="C107" s="25" t="s">
        <v>52</v>
      </c>
      <c r="D107" s="34" t="s">
        <v>24</v>
      </c>
      <c r="E107" s="27"/>
      <c r="F107" s="29"/>
      <c r="G107" s="29"/>
      <c r="H107" s="40"/>
      <c r="I107" s="28"/>
      <c r="J107" s="21"/>
      <c r="K107" s="21"/>
      <c r="L107" s="21"/>
      <c r="M107" s="21"/>
      <c r="N107" s="21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75" customHeight="1">
      <c r="A108" s="21"/>
      <c r="B108" s="21"/>
      <c r="C108" s="25"/>
      <c r="D108" s="34" t="s">
        <v>25</v>
      </c>
      <c r="E108" s="27"/>
      <c r="F108" s="29"/>
      <c r="G108" s="29"/>
      <c r="H108" s="40"/>
      <c r="I108" s="28"/>
      <c r="J108" s="21"/>
      <c r="K108" s="21"/>
      <c r="L108" s="21"/>
      <c r="M108" s="21"/>
      <c r="N108" s="21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75" customHeight="1">
      <c r="A109" s="21"/>
      <c r="B109" s="21"/>
      <c r="C109" s="25"/>
      <c r="D109" s="34" t="s">
        <v>40</v>
      </c>
      <c r="E109" s="27"/>
      <c r="F109" s="29"/>
      <c r="G109" s="29"/>
      <c r="H109" s="40"/>
      <c r="I109" s="28"/>
      <c r="J109" s="21"/>
      <c r="K109" s="21"/>
      <c r="L109" s="21"/>
      <c r="M109" s="21"/>
      <c r="N109" s="21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75" customHeight="1">
      <c r="A110" s="21"/>
      <c r="B110" s="21"/>
      <c r="C110" s="25"/>
      <c r="D110" s="34" t="s">
        <v>41</v>
      </c>
      <c r="E110" s="27"/>
      <c r="F110" s="29"/>
      <c r="G110" s="29"/>
      <c r="H110" s="40"/>
      <c r="I110" s="28"/>
      <c r="J110" s="21"/>
      <c r="K110" s="21"/>
      <c r="L110" s="21"/>
      <c r="M110" s="21"/>
      <c r="N110" s="21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75" customHeight="1">
      <c r="A111" s="21"/>
      <c r="B111" s="21"/>
      <c r="C111" s="25"/>
      <c r="D111" s="34" t="s">
        <v>27</v>
      </c>
      <c r="E111" s="27"/>
      <c r="F111" s="29"/>
      <c r="G111" s="29"/>
      <c r="H111" s="40"/>
      <c r="I111" s="28"/>
      <c r="J111" s="21"/>
      <c r="K111" s="21"/>
      <c r="L111" s="21"/>
      <c r="M111" s="21"/>
      <c r="N111" s="21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75" customHeight="1">
      <c r="A112" s="21"/>
      <c r="B112" s="21"/>
      <c r="C112" s="25"/>
      <c r="D112" s="34" t="s">
        <v>28</v>
      </c>
      <c r="E112" s="27"/>
      <c r="F112" s="29"/>
      <c r="G112" s="29"/>
      <c r="H112" s="40"/>
      <c r="I112" s="28"/>
      <c r="J112" s="21"/>
      <c r="K112" s="21"/>
      <c r="L112" s="21"/>
      <c r="M112" s="21"/>
      <c r="N112" s="21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75" customHeight="1">
      <c r="A113" s="21"/>
      <c r="B113" s="21"/>
      <c r="C113" s="25"/>
      <c r="D113" s="34" t="s">
        <v>29</v>
      </c>
      <c r="E113" s="27"/>
      <c r="F113" s="29"/>
      <c r="G113" s="29"/>
      <c r="H113" s="40"/>
      <c r="I113" s="28"/>
      <c r="J113" s="21"/>
      <c r="K113" s="21"/>
      <c r="L113" s="21"/>
      <c r="M113" s="21"/>
      <c r="N113" s="21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75" customHeight="1">
      <c r="A114" s="21"/>
      <c r="B114" s="21"/>
      <c r="C114" s="25"/>
      <c r="D114" s="34" t="s">
        <v>51</v>
      </c>
      <c r="E114" s="27"/>
      <c r="F114" s="29"/>
      <c r="G114" s="29"/>
      <c r="H114" s="40"/>
      <c r="I114" s="28"/>
      <c r="J114" s="21"/>
      <c r="K114" s="21"/>
      <c r="L114" s="21"/>
      <c r="M114" s="21"/>
      <c r="N114" s="21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75" customHeight="1">
      <c r="A115" s="21"/>
      <c r="B115" s="21"/>
      <c r="C115" s="25" t="s">
        <v>53</v>
      </c>
      <c r="D115" s="34" t="s">
        <v>24</v>
      </c>
      <c r="E115" s="27"/>
      <c r="F115" s="29"/>
      <c r="G115" s="29"/>
      <c r="H115" s="40"/>
      <c r="I115" s="28"/>
      <c r="J115" s="21"/>
      <c r="K115" s="21"/>
      <c r="L115" s="21"/>
      <c r="M115" s="21"/>
      <c r="N115" s="21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75" customHeight="1">
      <c r="A116" s="21"/>
      <c r="B116" s="21"/>
      <c r="C116" s="25"/>
      <c r="D116" s="34" t="s">
        <v>25</v>
      </c>
      <c r="E116" s="27"/>
      <c r="F116" s="29"/>
      <c r="G116" s="29"/>
      <c r="H116" s="40"/>
      <c r="I116" s="28"/>
      <c r="J116" s="21"/>
      <c r="K116" s="21"/>
      <c r="L116" s="21"/>
      <c r="M116" s="21"/>
      <c r="N116" s="21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75" customHeight="1">
      <c r="A117" s="21"/>
      <c r="B117" s="21"/>
      <c r="C117" s="25"/>
      <c r="D117" s="34" t="s">
        <v>26</v>
      </c>
      <c r="E117" s="27"/>
      <c r="F117" s="29"/>
      <c r="G117" s="29"/>
      <c r="H117" s="40"/>
      <c r="I117" s="28"/>
      <c r="J117" s="21"/>
      <c r="K117" s="21"/>
      <c r="L117" s="21"/>
      <c r="M117" s="21"/>
      <c r="N117" s="21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75" customHeight="1">
      <c r="A118" s="21"/>
      <c r="B118" s="21"/>
      <c r="C118" s="25"/>
      <c r="D118" s="34" t="s">
        <v>27</v>
      </c>
      <c r="E118" s="27"/>
      <c r="F118" s="29"/>
      <c r="G118" s="29"/>
      <c r="H118" s="40"/>
      <c r="I118" s="28"/>
      <c r="J118" s="21"/>
      <c r="K118" s="21"/>
      <c r="L118" s="21"/>
      <c r="M118" s="21"/>
      <c r="N118" s="21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75" customHeight="1">
      <c r="A119" s="21"/>
      <c r="B119" s="21"/>
      <c r="C119" s="25"/>
      <c r="D119" s="34" t="s">
        <v>28</v>
      </c>
      <c r="E119" s="27"/>
      <c r="F119" s="29"/>
      <c r="G119" s="29"/>
      <c r="H119" s="40"/>
      <c r="I119" s="28"/>
      <c r="J119" s="21"/>
      <c r="K119" s="21"/>
      <c r="L119" s="21"/>
      <c r="M119" s="21"/>
      <c r="N119" s="21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75" customHeight="1">
      <c r="A120" s="21"/>
      <c r="B120" s="21"/>
      <c r="C120" s="25"/>
      <c r="D120" s="34" t="s">
        <v>29</v>
      </c>
      <c r="E120" s="27"/>
      <c r="F120" s="29"/>
      <c r="G120" s="29"/>
      <c r="H120" s="40"/>
      <c r="I120" s="28"/>
      <c r="J120" s="21"/>
      <c r="K120" s="21"/>
      <c r="L120" s="21"/>
      <c r="M120" s="21"/>
      <c r="N120" s="21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75" customHeight="1">
      <c r="A121" s="21"/>
      <c r="B121" s="21"/>
      <c r="C121" s="25"/>
      <c r="D121" s="34" t="s">
        <v>54</v>
      </c>
      <c r="E121" s="27"/>
      <c r="F121" s="29"/>
      <c r="G121" s="29"/>
      <c r="H121" s="40"/>
      <c r="I121" s="28"/>
      <c r="J121" s="21"/>
      <c r="K121" s="21"/>
      <c r="L121" s="21"/>
      <c r="M121" s="21"/>
      <c r="N121" s="21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75" customHeight="1">
      <c r="A122" s="21"/>
      <c r="B122" s="21"/>
      <c r="C122" s="41" t="s">
        <v>55</v>
      </c>
      <c r="D122" s="42" t="s">
        <v>56</v>
      </c>
      <c r="E122" s="27"/>
      <c r="F122" s="29"/>
      <c r="G122" s="29"/>
      <c r="H122" s="40"/>
      <c r="I122" s="28"/>
      <c r="J122" s="21"/>
      <c r="K122" s="21"/>
      <c r="L122" s="21"/>
      <c r="M122" s="21"/>
      <c r="N122" s="21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75" customHeight="1">
      <c r="A123" s="21"/>
      <c r="B123" s="21"/>
      <c r="C123" s="25" t="s">
        <v>57</v>
      </c>
      <c r="D123" s="34" t="s">
        <v>24</v>
      </c>
      <c r="E123" s="27"/>
      <c r="F123" s="29"/>
      <c r="G123" s="29"/>
      <c r="H123" s="40"/>
      <c r="I123" s="28"/>
      <c r="J123" s="21"/>
      <c r="K123" s="21"/>
      <c r="L123" s="21"/>
      <c r="M123" s="21"/>
      <c r="N123" s="21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75" customHeight="1">
      <c r="A124" s="21"/>
      <c r="B124" s="21"/>
      <c r="C124" s="25"/>
      <c r="D124" s="34" t="s">
        <v>25</v>
      </c>
      <c r="E124" s="27"/>
      <c r="F124" s="29"/>
      <c r="G124" s="29"/>
      <c r="H124" s="40"/>
      <c r="I124" s="28"/>
      <c r="J124" s="21"/>
      <c r="K124" s="21"/>
      <c r="L124" s="21"/>
      <c r="M124" s="21"/>
      <c r="N124" s="21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75" customHeight="1">
      <c r="A125" s="21"/>
      <c r="B125" s="21"/>
      <c r="C125" s="25"/>
      <c r="D125" s="34" t="s">
        <v>26</v>
      </c>
      <c r="E125" s="27"/>
      <c r="F125" s="29"/>
      <c r="G125" s="29"/>
      <c r="H125" s="40"/>
      <c r="I125" s="28"/>
      <c r="J125" s="21"/>
      <c r="K125" s="21"/>
      <c r="L125" s="21"/>
      <c r="M125" s="21"/>
      <c r="N125" s="21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75" customHeight="1">
      <c r="A126" s="21"/>
      <c r="B126" s="21"/>
      <c r="C126" s="25"/>
      <c r="D126" s="34" t="s">
        <v>27</v>
      </c>
      <c r="E126" s="27"/>
      <c r="F126" s="29"/>
      <c r="G126" s="29"/>
      <c r="H126" s="40"/>
      <c r="I126" s="28"/>
      <c r="J126" s="21"/>
      <c r="K126" s="21"/>
      <c r="L126" s="21"/>
      <c r="M126" s="21"/>
      <c r="N126" s="21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75" customHeight="1">
      <c r="A127" s="21"/>
      <c r="B127" s="21"/>
      <c r="C127" s="25"/>
      <c r="D127" s="34" t="s">
        <v>28</v>
      </c>
      <c r="E127" s="27"/>
      <c r="F127" s="29"/>
      <c r="G127" s="29"/>
      <c r="H127" s="40"/>
      <c r="I127" s="28"/>
      <c r="J127" s="21"/>
      <c r="K127" s="21"/>
      <c r="L127" s="21"/>
      <c r="M127" s="21"/>
      <c r="N127" s="21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75" customHeight="1">
      <c r="A128" s="21"/>
      <c r="B128" s="21"/>
      <c r="C128" s="25"/>
      <c r="D128" s="34" t="s">
        <v>29</v>
      </c>
      <c r="E128" s="27"/>
      <c r="F128" s="29"/>
      <c r="G128" s="29"/>
      <c r="H128" s="40"/>
      <c r="I128" s="28"/>
      <c r="J128" s="21"/>
      <c r="K128" s="21"/>
      <c r="L128" s="21"/>
      <c r="M128" s="21"/>
      <c r="N128" s="21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75" customHeight="1">
      <c r="A129" s="21"/>
      <c r="B129" s="21"/>
      <c r="C129" s="41"/>
      <c r="D129" s="34" t="s">
        <v>54</v>
      </c>
      <c r="E129" s="27"/>
      <c r="F129" s="29"/>
      <c r="G129" s="29"/>
      <c r="H129" s="40"/>
      <c r="I129" s="28"/>
      <c r="J129" s="21"/>
      <c r="K129" s="21"/>
      <c r="L129" s="21"/>
      <c r="M129" s="21"/>
      <c r="N129" s="21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75" customHeight="1">
      <c r="A130" s="21"/>
      <c r="B130" s="43"/>
      <c r="C130" s="34" t="s">
        <v>58</v>
      </c>
      <c r="D130" s="34" t="s">
        <v>24</v>
      </c>
      <c r="E130" s="28"/>
      <c r="F130" s="29"/>
      <c r="G130" s="40"/>
      <c r="H130" s="29"/>
      <c r="I130" s="28"/>
      <c r="J130" s="21"/>
      <c r="K130" s="21"/>
      <c r="L130" s="21"/>
      <c r="M130" s="21"/>
      <c r="N130" s="21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75" customHeight="1">
      <c r="A131" s="21"/>
      <c r="B131" s="21"/>
      <c r="C131" s="44"/>
      <c r="D131" s="34" t="s">
        <v>25</v>
      </c>
      <c r="E131" s="28"/>
      <c r="F131" s="29"/>
      <c r="G131" s="29"/>
      <c r="H131" s="29"/>
      <c r="I131" s="28"/>
      <c r="J131" s="21"/>
      <c r="K131" s="21"/>
      <c r="L131" s="21"/>
      <c r="M131" s="21"/>
      <c r="N131" s="21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75" customHeight="1">
      <c r="A132" s="21"/>
      <c r="B132" s="21"/>
      <c r="C132" s="45"/>
      <c r="D132" s="34" t="s">
        <v>26</v>
      </c>
      <c r="E132" s="28"/>
      <c r="F132" s="29"/>
      <c r="G132" s="29"/>
      <c r="H132" s="29"/>
      <c r="I132" s="28"/>
      <c r="J132" s="21"/>
      <c r="K132" s="21"/>
      <c r="L132" s="21"/>
      <c r="M132" s="21"/>
      <c r="N132" s="21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75" customHeight="1">
      <c r="A133" s="21"/>
      <c r="B133" s="21"/>
      <c r="C133" s="45"/>
      <c r="D133" s="34" t="s">
        <v>27</v>
      </c>
      <c r="E133" s="28"/>
      <c r="F133" s="29"/>
      <c r="G133" s="29"/>
      <c r="H133" s="29"/>
      <c r="I133" s="28"/>
      <c r="J133" s="21"/>
      <c r="K133" s="21"/>
      <c r="L133" s="21"/>
      <c r="M133" s="21"/>
      <c r="N133" s="21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75" customHeight="1">
      <c r="A134" s="21"/>
      <c r="B134" s="21"/>
      <c r="C134" s="45"/>
      <c r="D134" s="34" t="s">
        <v>28</v>
      </c>
      <c r="E134" s="28"/>
      <c r="F134" s="29"/>
      <c r="G134" s="29"/>
      <c r="H134" s="29"/>
      <c r="I134" s="28"/>
      <c r="J134" s="21"/>
      <c r="K134" s="21"/>
      <c r="L134" s="21"/>
      <c r="M134" s="21"/>
      <c r="N134" s="21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75" customHeight="1">
      <c r="A135" s="21"/>
      <c r="B135" s="21"/>
      <c r="C135" s="45"/>
      <c r="D135" s="34" t="s">
        <v>29</v>
      </c>
      <c r="E135" s="28"/>
      <c r="F135" s="29"/>
      <c r="G135" s="29"/>
      <c r="H135" s="29"/>
      <c r="I135" s="28"/>
      <c r="J135" s="21"/>
      <c r="K135" s="21"/>
      <c r="L135" s="21"/>
      <c r="M135" s="21"/>
      <c r="N135" s="21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75" customHeight="1">
      <c r="A136" s="21"/>
      <c r="B136" s="21"/>
      <c r="C136" s="45"/>
      <c r="D136" s="34" t="s">
        <v>51</v>
      </c>
      <c r="E136" s="28"/>
      <c r="F136" s="29"/>
      <c r="G136" s="29"/>
      <c r="H136" s="29"/>
      <c r="I136" s="28"/>
      <c r="J136" s="21"/>
      <c r="K136" s="21"/>
      <c r="L136" s="21"/>
      <c r="M136" s="21"/>
      <c r="N136" s="21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C1:I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08000"/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9.14"/>
    <col customWidth="1" min="2" max="2" width="6.71"/>
    <col customWidth="1" min="3" max="3" width="12.0"/>
    <col customWidth="1" min="4" max="4" width="25.71"/>
    <col customWidth="1" min="5" max="8" width="15.71"/>
    <col customWidth="1" min="9" max="9" width="12.86"/>
    <col customWidth="1" min="10" max="13" width="9.14"/>
    <col customWidth="1" min="14" max="26" width="8.0"/>
  </cols>
  <sheetData>
    <row r="1" ht="19.5" customHeight="1">
      <c r="A1" s="21"/>
      <c r="B1" s="21"/>
      <c r="C1" s="17" t="s">
        <v>59</v>
      </c>
      <c r="D1" s="18"/>
      <c r="E1" s="18"/>
      <c r="F1" s="18"/>
      <c r="G1" s="18"/>
      <c r="H1" s="18"/>
      <c r="I1" s="19"/>
      <c r="J1" s="21"/>
      <c r="K1" s="21"/>
      <c r="L1" s="21"/>
      <c r="M1" s="21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0.0" customHeight="1">
      <c r="A2" s="21"/>
      <c r="B2" s="21"/>
      <c r="C2" s="22" t="s">
        <v>16</v>
      </c>
      <c r="D2" s="22" t="s">
        <v>17</v>
      </c>
      <c r="E2" s="22" t="s">
        <v>18</v>
      </c>
      <c r="F2" s="23" t="s">
        <v>19</v>
      </c>
      <c r="G2" s="23" t="s">
        <v>20</v>
      </c>
      <c r="H2" s="23" t="s">
        <v>21</v>
      </c>
      <c r="I2" s="24" t="s">
        <v>22</v>
      </c>
      <c r="J2" s="21"/>
      <c r="K2" s="21"/>
      <c r="L2" s="21"/>
      <c r="M2" s="21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21"/>
      <c r="B3" s="21"/>
      <c r="C3" s="25" t="s">
        <v>23</v>
      </c>
      <c r="D3" s="26" t="s">
        <v>24</v>
      </c>
      <c r="E3" s="46"/>
      <c r="F3" s="47"/>
      <c r="G3" s="29"/>
      <c r="H3" s="29"/>
      <c r="I3" s="29"/>
      <c r="J3" s="21"/>
      <c r="K3" s="21"/>
      <c r="L3" s="21"/>
      <c r="M3" s="21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21"/>
      <c r="B4" s="21"/>
      <c r="C4" s="25"/>
      <c r="D4" s="26" t="s">
        <v>25</v>
      </c>
      <c r="E4" s="46"/>
      <c r="F4" s="29"/>
      <c r="G4" s="29"/>
      <c r="H4" s="29"/>
      <c r="I4" s="29"/>
      <c r="J4" s="21"/>
      <c r="K4" s="21"/>
      <c r="L4" s="21"/>
      <c r="M4" s="21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21"/>
      <c r="B5" s="21"/>
      <c r="C5" s="25"/>
      <c r="D5" s="26" t="s">
        <v>26</v>
      </c>
      <c r="E5" s="46"/>
      <c r="F5" s="29"/>
      <c r="G5" s="29"/>
      <c r="H5" s="29"/>
      <c r="I5" s="29"/>
      <c r="J5" s="21"/>
      <c r="K5" s="21"/>
      <c r="L5" s="21"/>
      <c r="M5" s="21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21"/>
      <c r="B6" s="21"/>
      <c r="C6" s="25"/>
      <c r="D6" s="26" t="s">
        <v>27</v>
      </c>
      <c r="E6" s="46"/>
      <c r="F6" s="29"/>
      <c r="G6" s="29"/>
      <c r="H6" s="29"/>
      <c r="I6" s="29"/>
      <c r="J6" s="21"/>
      <c r="K6" s="21"/>
      <c r="L6" s="21"/>
      <c r="M6" s="21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21"/>
      <c r="B7" s="21"/>
      <c r="C7" s="25"/>
      <c r="D7" s="26" t="s">
        <v>28</v>
      </c>
      <c r="E7" s="46"/>
      <c r="F7" s="29"/>
      <c r="G7" s="29"/>
      <c r="H7" s="29"/>
      <c r="I7" s="29"/>
      <c r="J7" s="21"/>
      <c r="K7" s="21"/>
      <c r="L7" s="21"/>
      <c r="M7" s="21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21"/>
      <c r="B8" s="21"/>
      <c r="C8" s="25"/>
      <c r="D8" s="26" t="s">
        <v>29</v>
      </c>
      <c r="E8" s="46"/>
      <c r="F8" s="29"/>
      <c r="G8" s="29"/>
      <c r="H8" s="29"/>
      <c r="I8" s="29"/>
      <c r="J8" s="21"/>
      <c r="K8" s="21"/>
      <c r="L8" s="21"/>
      <c r="M8" s="21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21"/>
      <c r="B9" s="21"/>
      <c r="C9" s="25" t="s">
        <v>30</v>
      </c>
      <c r="D9" s="26" t="s">
        <v>24</v>
      </c>
      <c r="E9" s="46"/>
      <c r="F9" s="29"/>
      <c r="G9" s="29"/>
      <c r="H9" s="29"/>
      <c r="I9" s="29"/>
      <c r="J9" s="21"/>
      <c r="K9" s="21"/>
      <c r="L9" s="21"/>
      <c r="M9" s="21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21"/>
      <c r="B10" s="21"/>
      <c r="C10" s="25"/>
      <c r="D10" s="26" t="s">
        <v>25</v>
      </c>
      <c r="E10" s="46"/>
      <c r="F10" s="29"/>
      <c r="G10" s="29"/>
      <c r="H10" s="29"/>
      <c r="I10" s="29"/>
      <c r="J10" s="21"/>
      <c r="K10" s="21"/>
      <c r="L10" s="21"/>
      <c r="M10" s="21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21"/>
      <c r="B11" s="21"/>
      <c r="C11" s="25"/>
      <c r="D11" s="26" t="s">
        <v>26</v>
      </c>
      <c r="E11" s="46"/>
      <c r="F11" s="29"/>
      <c r="G11" s="29"/>
      <c r="H11" s="29"/>
      <c r="I11" s="29"/>
      <c r="J11" s="21"/>
      <c r="K11" s="21"/>
      <c r="L11" s="21"/>
      <c r="M11" s="21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21"/>
      <c r="B12" s="21"/>
      <c r="C12" s="25"/>
      <c r="D12" s="26" t="s">
        <v>27</v>
      </c>
      <c r="E12" s="46"/>
      <c r="F12" s="29"/>
      <c r="G12" s="29"/>
      <c r="H12" s="29"/>
      <c r="I12" s="29"/>
      <c r="J12" s="21"/>
      <c r="K12" s="21"/>
      <c r="L12" s="21"/>
      <c r="M12" s="21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21"/>
      <c r="B13" s="21"/>
      <c r="C13" s="25"/>
      <c r="D13" s="26" t="s">
        <v>28</v>
      </c>
      <c r="E13" s="46"/>
      <c r="F13" s="29"/>
      <c r="G13" s="30"/>
      <c r="H13" s="29"/>
      <c r="I13" s="29"/>
      <c r="J13" s="21"/>
      <c r="K13" s="21"/>
      <c r="L13" s="21"/>
      <c r="M13" s="21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21"/>
      <c r="B14" s="21"/>
      <c r="C14" s="25"/>
      <c r="D14" s="26" t="s">
        <v>29</v>
      </c>
      <c r="E14" s="46"/>
      <c r="F14" s="29"/>
      <c r="G14" s="30"/>
      <c r="H14" s="29"/>
      <c r="I14" s="29"/>
      <c r="J14" s="21"/>
      <c r="K14" s="21"/>
      <c r="L14" s="21"/>
      <c r="M14" s="21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21"/>
      <c r="B15" s="21"/>
      <c r="C15" s="25" t="s">
        <v>31</v>
      </c>
      <c r="D15" s="26" t="s">
        <v>24</v>
      </c>
      <c r="E15" s="46"/>
      <c r="F15" s="29"/>
      <c r="G15" s="30"/>
      <c r="H15" s="29"/>
      <c r="I15" s="29"/>
      <c r="J15" s="21"/>
      <c r="K15" s="21"/>
      <c r="L15" s="21"/>
      <c r="M15" s="21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21"/>
      <c r="B16" s="21"/>
      <c r="C16" s="25"/>
      <c r="D16" s="26" t="s">
        <v>25</v>
      </c>
      <c r="E16" s="46"/>
      <c r="F16" s="29"/>
      <c r="G16" s="30"/>
      <c r="H16" s="29"/>
      <c r="I16" s="29"/>
      <c r="J16" s="21"/>
      <c r="K16" s="21"/>
      <c r="L16" s="21"/>
      <c r="M16" s="21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21"/>
      <c r="B17" s="21"/>
      <c r="C17" s="25"/>
      <c r="D17" s="26" t="s">
        <v>26</v>
      </c>
      <c r="E17" s="46"/>
      <c r="F17" s="29"/>
      <c r="G17" s="29"/>
      <c r="H17" s="29"/>
      <c r="I17" s="29"/>
      <c r="J17" s="21"/>
      <c r="K17" s="21"/>
      <c r="L17" s="21"/>
      <c r="M17" s="21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21"/>
      <c r="B18" s="21"/>
      <c r="C18" s="25"/>
      <c r="D18" s="26" t="s">
        <v>27</v>
      </c>
      <c r="E18" s="46"/>
      <c r="F18" s="29"/>
      <c r="G18" s="29"/>
      <c r="H18" s="29"/>
      <c r="I18" s="29"/>
      <c r="J18" s="21"/>
      <c r="K18" s="21"/>
      <c r="L18" s="21"/>
      <c r="M18" s="21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21"/>
      <c r="B19" s="21"/>
      <c r="C19" s="25"/>
      <c r="D19" s="26" t="s">
        <v>28</v>
      </c>
      <c r="E19" s="46"/>
      <c r="F19" s="29"/>
      <c r="G19" s="29"/>
      <c r="H19" s="29"/>
      <c r="I19" s="29"/>
      <c r="J19" s="21"/>
      <c r="K19" s="21"/>
      <c r="L19" s="21"/>
      <c r="M19" s="21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21"/>
      <c r="B20" s="21"/>
      <c r="C20" s="25"/>
      <c r="D20" s="26" t="s">
        <v>29</v>
      </c>
      <c r="E20" s="46"/>
      <c r="F20" s="29"/>
      <c r="G20" s="29"/>
      <c r="H20" s="29"/>
      <c r="I20" s="29"/>
      <c r="J20" s="21"/>
      <c r="K20" s="21"/>
      <c r="L20" s="21"/>
      <c r="M20" s="21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5.75" customHeight="1">
      <c r="A21" s="21"/>
      <c r="B21" s="21"/>
      <c r="C21" s="25" t="s">
        <v>32</v>
      </c>
      <c r="D21" s="26" t="s">
        <v>24</v>
      </c>
      <c r="E21" s="46"/>
      <c r="F21" s="46"/>
      <c r="G21" s="46"/>
      <c r="H21" s="29"/>
      <c r="I21" s="29"/>
      <c r="J21" s="21"/>
      <c r="K21" s="21"/>
      <c r="L21" s="21"/>
      <c r="M21" s="21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5.75" customHeight="1">
      <c r="A22" s="21"/>
      <c r="B22" s="21"/>
      <c r="C22" s="25"/>
      <c r="D22" s="26" t="s">
        <v>25</v>
      </c>
      <c r="E22" s="46"/>
      <c r="F22" s="46"/>
      <c r="G22" s="46"/>
      <c r="H22" s="29"/>
      <c r="I22" s="29"/>
      <c r="J22" s="21"/>
      <c r="K22" s="21"/>
      <c r="L22" s="21"/>
      <c r="M22" s="21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5.75" customHeight="1">
      <c r="A23" s="21"/>
      <c r="B23" s="21"/>
      <c r="C23" s="25"/>
      <c r="D23" s="26" t="s">
        <v>26</v>
      </c>
      <c r="E23" s="46"/>
      <c r="F23" s="46"/>
      <c r="G23" s="46"/>
      <c r="H23" s="29"/>
      <c r="I23" s="29"/>
      <c r="J23" s="21"/>
      <c r="K23" s="21"/>
      <c r="L23" s="21"/>
      <c r="M23" s="21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5.75" customHeight="1">
      <c r="A24" s="21"/>
      <c r="B24" s="21"/>
      <c r="C24" s="25"/>
      <c r="D24" s="26" t="s">
        <v>27</v>
      </c>
      <c r="E24" s="46"/>
      <c r="F24" s="46"/>
      <c r="G24" s="46"/>
      <c r="H24" s="29"/>
      <c r="I24" s="29"/>
      <c r="J24" s="21"/>
      <c r="K24" s="21"/>
      <c r="L24" s="21"/>
      <c r="M24" s="21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5.75" customHeight="1">
      <c r="A25" s="21"/>
      <c r="B25" s="21"/>
      <c r="C25" s="25"/>
      <c r="D25" s="26" t="s">
        <v>28</v>
      </c>
      <c r="E25" s="46"/>
      <c r="F25" s="46"/>
      <c r="G25" s="46"/>
      <c r="H25" s="29"/>
      <c r="I25" s="29"/>
      <c r="J25" s="21"/>
      <c r="K25" s="21"/>
      <c r="L25" s="21"/>
      <c r="M25" s="21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5.75" customHeight="1">
      <c r="A26" s="21"/>
      <c r="B26" s="21"/>
      <c r="C26" s="25"/>
      <c r="D26" s="26" t="s">
        <v>29</v>
      </c>
      <c r="E26" s="46"/>
      <c r="F26" s="46"/>
      <c r="G26" s="46"/>
      <c r="H26" s="29"/>
      <c r="I26" s="29"/>
      <c r="J26" s="21"/>
      <c r="K26" s="21"/>
      <c r="L26" s="21"/>
      <c r="M26" s="21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5.75" customHeight="1">
      <c r="A27" s="21"/>
      <c r="B27" s="21"/>
      <c r="C27" s="25" t="s">
        <v>33</v>
      </c>
      <c r="D27" s="26" t="s">
        <v>24</v>
      </c>
      <c r="E27" s="46"/>
      <c r="F27" s="46"/>
      <c r="G27" s="46"/>
      <c r="H27" s="29"/>
      <c r="I27" s="29"/>
      <c r="J27" s="21"/>
      <c r="K27" s="21"/>
      <c r="L27" s="21"/>
      <c r="M27" s="21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5.75" customHeight="1">
      <c r="A28" s="21"/>
      <c r="B28" s="21"/>
      <c r="C28" s="25"/>
      <c r="D28" s="26" t="s">
        <v>25</v>
      </c>
      <c r="E28" s="46"/>
      <c r="F28" s="46"/>
      <c r="G28" s="46"/>
      <c r="H28" s="29"/>
      <c r="I28" s="29"/>
      <c r="J28" s="21"/>
      <c r="K28" s="21"/>
      <c r="L28" s="21"/>
      <c r="M28" s="21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75" customHeight="1">
      <c r="A29" s="21"/>
      <c r="B29" s="21"/>
      <c r="C29" s="25"/>
      <c r="D29" s="26" t="s">
        <v>26</v>
      </c>
      <c r="E29" s="46"/>
      <c r="F29" s="46"/>
      <c r="G29" s="46"/>
      <c r="H29" s="29"/>
      <c r="I29" s="29"/>
      <c r="J29" s="21"/>
      <c r="K29" s="21"/>
      <c r="L29" s="21"/>
      <c r="M29" s="21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5.75" customHeight="1">
      <c r="A30" s="21"/>
      <c r="B30" s="21"/>
      <c r="C30" s="25"/>
      <c r="D30" s="26" t="s">
        <v>27</v>
      </c>
      <c r="E30" s="46"/>
      <c r="F30" s="46"/>
      <c r="G30" s="46"/>
      <c r="H30" s="29"/>
      <c r="I30" s="29"/>
      <c r="J30" s="21"/>
      <c r="K30" s="21"/>
      <c r="L30" s="21"/>
      <c r="M30" s="21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21"/>
      <c r="B31" s="21"/>
      <c r="C31" s="25"/>
      <c r="D31" s="26" t="s">
        <v>28</v>
      </c>
      <c r="E31" s="46"/>
      <c r="F31" s="46"/>
      <c r="G31" s="46"/>
      <c r="H31" s="29"/>
      <c r="I31" s="29"/>
      <c r="J31" s="21"/>
      <c r="K31" s="21"/>
      <c r="L31" s="21"/>
      <c r="M31" s="21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5.75" customHeight="1">
      <c r="A32" s="21"/>
      <c r="B32" s="21"/>
      <c r="C32" s="25"/>
      <c r="D32" s="26" t="s">
        <v>29</v>
      </c>
      <c r="E32" s="46"/>
      <c r="F32" s="46"/>
      <c r="G32" s="46"/>
      <c r="H32" s="29"/>
      <c r="I32" s="29"/>
      <c r="J32" s="21"/>
      <c r="K32" s="21"/>
      <c r="L32" s="21"/>
      <c r="M32" s="21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5.75" customHeight="1">
      <c r="A33" s="21"/>
      <c r="B33" s="21"/>
      <c r="C33" s="25" t="s">
        <v>34</v>
      </c>
      <c r="D33" s="26" t="s">
        <v>24</v>
      </c>
      <c r="E33" s="46"/>
      <c r="F33" s="46"/>
      <c r="G33" s="46"/>
      <c r="H33" s="29"/>
      <c r="I33" s="29"/>
      <c r="J33" s="21"/>
      <c r="K33" s="21"/>
      <c r="L33" s="21"/>
      <c r="M33" s="21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5.75" customHeight="1">
      <c r="A34" s="21"/>
      <c r="B34" s="21"/>
      <c r="C34" s="25"/>
      <c r="D34" s="26" t="s">
        <v>25</v>
      </c>
      <c r="E34" s="46"/>
      <c r="F34" s="46"/>
      <c r="G34" s="46"/>
      <c r="H34" s="29"/>
      <c r="I34" s="29"/>
      <c r="J34" s="21"/>
      <c r="K34" s="21"/>
      <c r="L34" s="21"/>
      <c r="M34" s="21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5.75" customHeight="1">
      <c r="A35" s="21"/>
      <c r="B35" s="21"/>
      <c r="C35" s="25"/>
      <c r="D35" s="26" t="s">
        <v>26</v>
      </c>
      <c r="E35" s="46"/>
      <c r="F35" s="46"/>
      <c r="G35" s="46"/>
      <c r="H35" s="29"/>
      <c r="I35" s="29"/>
      <c r="J35" s="21"/>
      <c r="K35" s="21"/>
      <c r="L35" s="21"/>
      <c r="M35" s="21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5.75" customHeight="1">
      <c r="A36" s="21"/>
      <c r="B36" s="21"/>
      <c r="C36" s="25"/>
      <c r="D36" s="26" t="s">
        <v>27</v>
      </c>
      <c r="E36" s="46"/>
      <c r="F36" s="46"/>
      <c r="G36" s="46"/>
      <c r="H36" s="29"/>
      <c r="I36" s="29"/>
      <c r="J36" s="21"/>
      <c r="K36" s="21"/>
      <c r="L36" s="21"/>
      <c r="M36" s="21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75" customHeight="1">
      <c r="A37" s="21"/>
      <c r="B37" s="21"/>
      <c r="C37" s="25"/>
      <c r="D37" s="26" t="s">
        <v>28</v>
      </c>
      <c r="E37" s="46"/>
      <c r="F37" s="46"/>
      <c r="G37" s="46"/>
      <c r="H37" s="29"/>
      <c r="I37" s="29"/>
      <c r="J37" s="21"/>
      <c r="K37" s="21"/>
      <c r="L37" s="21"/>
      <c r="M37" s="21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5.75" customHeight="1">
      <c r="A38" s="21"/>
      <c r="B38" s="21"/>
      <c r="C38" s="25"/>
      <c r="D38" s="26" t="s">
        <v>29</v>
      </c>
      <c r="E38" s="46"/>
      <c r="F38" s="46"/>
      <c r="G38" s="46"/>
      <c r="H38" s="29"/>
      <c r="I38" s="29"/>
      <c r="J38" s="21"/>
      <c r="K38" s="21"/>
      <c r="L38" s="21"/>
      <c r="M38" s="21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5.75" customHeight="1">
      <c r="A39" s="21"/>
      <c r="B39" s="21"/>
      <c r="C39" s="25" t="s">
        <v>35</v>
      </c>
      <c r="D39" s="26" t="s">
        <v>24</v>
      </c>
      <c r="E39" s="46"/>
      <c r="F39" s="46"/>
      <c r="G39" s="46"/>
      <c r="H39" s="29"/>
      <c r="I39" s="29"/>
      <c r="J39" s="21"/>
      <c r="K39" s="21"/>
      <c r="L39" s="21"/>
      <c r="M39" s="21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5.75" customHeight="1">
      <c r="A40" s="21"/>
      <c r="B40" s="21"/>
      <c r="C40" s="25"/>
      <c r="D40" s="26" t="s">
        <v>25</v>
      </c>
      <c r="E40" s="46"/>
      <c r="F40" s="46"/>
      <c r="G40" s="46"/>
      <c r="H40" s="29"/>
      <c r="I40" s="29"/>
      <c r="J40" s="21"/>
      <c r="K40" s="21"/>
      <c r="L40" s="21"/>
      <c r="M40" s="21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5.75" customHeight="1">
      <c r="A41" s="21"/>
      <c r="B41" s="21"/>
      <c r="C41" s="25"/>
      <c r="D41" s="26" t="s">
        <v>26</v>
      </c>
      <c r="E41" s="46"/>
      <c r="F41" s="46"/>
      <c r="G41" s="46"/>
      <c r="H41" s="29"/>
      <c r="I41" s="29"/>
      <c r="J41" s="21"/>
      <c r="K41" s="21"/>
      <c r="L41" s="21"/>
      <c r="M41" s="21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21"/>
      <c r="B42" s="21"/>
      <c r="C42" s="25"/>
      <c r="D42" s="26" t="s">
        <v>27</v>
      </c>
      <c r="E42" s="46"/>
      <c r="F42" s="46"/>
      <c r="G42" s="46"/>
      <c r="H42" s="29"/>
      <c r="I42" s="29"/>
      <c r="J42" s="21"/>
      <c r="K42" s="21"/>
      <c r="L42" s="21"/>
      <c r="M42" s="21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5.75" customHeight="1">
      <c r="A43" s="21"/>
      <c r="B43" s="21"/>
      <c r="C43" s="25"/>
      <c r="D43" s="26" t="s">
        <v>28</v>
      </c>
      <c r="E43" s="46"/>
      <c r="F43" s="46"/>
      <c r="G43" s="46"/>
      <c r="H43" s="29"/>
      <c r="I43" s="29"/>
      <c r="J43" s="21"/>
      <c r="K43" s="21"/>
      <c r="L43" s="21"/>
      <c r="M43" s="21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5.75" customHeight="1">
      <c r="A44" s="21"/>
      <c r="B44" s="21"/>
      <c r="C44" s="25"/>
      <c r="D44" s="26" t="s">
        <v>29</v>
      </c>
      <c r="E44" s="46"/>
      <c r="F44" s="46"/>
      <c r="G44" s="46"/>
      <c r="H44" s="29"/>
      <c r="I44" s="29"/>
      <c r="J44" s="21"/>
      <c r="K44" s="21"/>
      <c r="L44" s="21"/>
      <c r="M44" s="21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5.75" customHeight="1">
      <c r="A45" s="21"/>
      <c r="B45" s="21"/>
      <c r="C45" s="25" t="s">
        <v>36</v>
      </c>
      <c r="D45" s="26" t="s">
        <v>24</v>
      </c>
      <c r="E45" s="46"/>
      <c r="F45" s="46"/>
      <c r="G45" s="46"/>
      <c r="H45" s="29"/>
      <c r="I45" s="29"/>
      <c r="J45" s="21"/>
      <c r="K45" s="21"/>
      <c r="L45" s="21"/>
      <c r="M45" s="21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5.75" customHeight="1">
      <c r="A46" s="21"/>
      <c r="B46" s="21"/>
      <c r="C46" s="25"/>
      <c r="D46" s="26" t="s">
        <v>25</v>
      </c>
      <c r="E46" s="46"/>
      <c r="F46" s="46"/>
      <c r="G46" s="46"/>
      <c r="H46" s="29"/>
      <c r="I46" s="29"/>
      <c r="J46" s="21"/>
      <c r="K46" s="21"/>
      <c r="L46" s="21"/>
      <c r="M46" s="21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5.75" customHeight="1">
      <c r="A47" s="21"/>
      <c r="B47" s="21"/>
      <c r="C47" s="25"/>
      <c r="D47" s="26" t="s">
        <v>26</v>
      </c>
      <c r="E47" s="46"/>
      <c r="F47" s="46"/>
      <c r="G47" s="46"/>
      <c r="H47" s="29"/>
      <c r="I47" s="29"/>
      <c r="J47" s="21"/>
      <c r="K47" s="21"/>
      <c r="L47" s="21"/>
      <c r="M47" s="21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5.75" customHeight="1">
      <c r="A48" s="21"/>
      <c r="B48" s="21"/>
      <c r="C48" s="25"/>
      <c r="D48" s="26" t="s">
        <v>27</v>
      </c>
      <c r="E48" s="46"/>
      <c r="F48" s="46"/>
      <c r="G48" s="48"/>
      <c r="H48" s="29"/>
      <c r="I48" s="29"/>
      <c r="J48" s="21"/>
      <c r="K48" s="21"/>
      <c r="L48" s="21"/>
      <c r="M48" s="21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5.75" customHeight="1">
      <c r="A49" s="21"/>
      <c r="B49" s="21"/>
      <c r="C49" s="25"/>
      <c r="D49" s="26" t="s">
        <v>28</v>
      </c>
      <c r="E49" s="46"/>
      <c r="F49" s="46"/>
      <c r="G49" s="48"/>
      <c r="H49" s="29"/>
      <c r="I49" s="29"/>
      <c r="J49" s="21"/>
      <c r="K49" s="21"/>
      <c r="L49" s="21"/>
      <c r="M49" s="21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5.75" customHeight="1">
      <c r="A50" s="21"/>
      <c r="B50" s="21"/>
      <c r="C50" s="25"/>
      <c r="D50" s="26" t="s">
        <v>29</v>
      </c>
      <c r="E50" s="46"/>
      <c r="F50" s="46"/>
      <c r="G50" s="48"/>
      <c r="H50" s="29"/>
      <c r="I50" s="29"/>
      <c r="J50" s="21"/>
      <c r="K50" s="21"/>
      <c r="L50" s="21"/>
      <c r="M50" s="21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5.75" customHeight="1">
      <c r="A51" s="21"/>
      <c r="B51" s="21"/>
      <c r="C51" s="25" t="s">
        <v>37</v>
      </c>
      <c r="D51" s="26" t="s">
        <v>24</v>
      </c>
      <c r="E51" s="46"/>
      <c r="F51" s="46"/>
      <c r="G51" s="48"/>
      <c r="H51" s="29"/>
      <c r="I51" s="29"/>
      <c r="J51" s="21"/>
      <c r="K51" s="21"/>
      <c r="L51" s="21"/>
      <c r="M51" s="21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5.75" customHeight="1">
      <c r="A52" s="21"/>
      <c r="B52" s="21"/>
      <c r="C52" s="25"/>
      <c r="D52" s="26" t="s">
        <v>25</v>
      </c>
      <c r="E52" s="46"/>
      <c r="F52" s="46"/>
      <c r="G52" s="48"/>
      <c r="H52" s="29"/>
      <c r="I52" s="29"/>
      <c r="J52" s="21"/>
      <c r="K52" s="21"/>
      <c r="L52" s="21"/>
      <c r="M52" s="21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5.75" customHeight="1">
      <c r="A53" s="21"/>
      <c r="B53" s="21"/>
      <c r="C53" s="25"/>
      <c r="D53" s="26" t="s">
        <v>26</v>
      </c>
      <c r="E53" s="46"/>
      <c r="F53" s="46"/>
      <c r="G53" s="48"/>
      <c r="H53" s="29"/>
      <c r="I53" s="29"/>
      <c r="J53" s="21"/>
      <c r="K53" s="21"/>
      <c r="L53" s="21"/>
      <c r="M53" s="21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5.75" customHeight="1">
      <c r="A54" s="21"/>
      <c r="B54" s="21"/>
      <c r="C54" s="25"/>
      <c r="D54" s="26" t="s">
        <v>27</v>
      </c>
      <c r="E54" s="46"/>
      <c r="F54" s="46"/>
      <c r="G54" s="48"/>
      <c r="H54" s="29"/>
      <c r="I54" s="29"/>
      <c r="J54" s="21"/>
      <c r="K54" s="21"/>
      <c r="L54" s="21"/>
      <c r="M54" s="21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5.75" customHeight="1">
      <c r="A55" s="21"/>
      <c r="B55" s="21"/>
      <c r="C55" s="25"/>
      <c r="D55" s="26" t="s">
        <v>28</v>
      </c>
      <c r="E55" s="46"/>
      <c r="F55" s="46"/>
      <c r="G55" s="48"/>
      <c r="H55" s="29"/>
      <c r="I55" s="29"/>
      <c r="J55" s="21"/>
      <c r="K55" s="21"/>
      <c r="L55" s="21"/>
      <c r="M55" s="21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21"/>
      <c r="B56" s="21"/>
      <c r="C56" s="25"/>
      <c r="D56" s="26" t="s">
        <v>29</v>
      </c>
      <c r="E56" s="46"/>
      <c r="F56" s="46"/>
      <c r="G56" s="48"/>
      <c r="H56" s="29"/>
      <c r="I56" s="29"/>
      <c r="J56" s="21"/>
      <c r="K56" s="21"/>
      <c r="L56" s="21"/>
      <c r="M56" s="21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5.75" customHeight="1">
      <c r="A57" s="21"/>
      <c r="B57" s="21"/>
      <c r="C57" s="25" t="s">
        <v>38</v>
      </c>
      <c r="D57" s="26" t="s">
        <v>24</v>
      </c>
      <c r="E57" s="46"/>
      <c r="F57" s="32"/>
      <c r="G57" s="33"/>
      <c r="H57" s="46"/>
      <c r="I57" s="29"/>
      <c r="J57" s="21"/>
      <c r="K57" s="21"/>
      <c r="L57" s="21"/>
      <c r="M57" s="21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5.75" customHeight="1">
      <c r="A58" s="21"/>
      <c r="B58" s="21"/>
      <c r="C58" s="25"/>
      <c r="D58" s="26" t="s">
        <v>25</v>
      </c>
      <c r="E58" s="46"/>
      <c r="F58" s="29"/>
      <c r="G58" s="29"/>
      <c r="H58" s="46"/>
      <c r="I58" s="29"/>
      <c r="J58" s="21"/>
      <c r="K58" s="21"/>
      <c r="L58" s="21"/>
      <c r="M58" s="21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5.75" customHeight="1">
      <c r="A59" s="21"/>
      <c r="B59" s="21"/>
      <c r="C59" s="25"/>
      <c r="D59" s="26" t="s">
        <v>26</v>
      </c>
      <c r="E59" s="46"/>
      <c r="F59" s="29"/>
      <c r="G59" s="29"/>
      <c r="H59" s="46"/>
      <c r="I59" s="29"/>
      <c r="J59" s="21"/>
      <c r="K59" s="21"/>
      <c r="L59" s="21"/>
      <c r="M59" s="21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5.75" customHeight="1">
      <c r="A60" s="21"/>
      <c r="B60" s="21"/>
      <c r="C60" s="25"/>
      <c r="D60" s="26" t="s">
        <v>27</v>
      </c>
      <c r="E60" s="46"/>
      <c r="F60" s="29"/>
      <c r="G60" s="29"/>
      <c r="H60" s="46"/>
      <c r="I60" s="29"/>
      <c r="J60" s="21"/>
      <c r="K60" s="21"/>
      <c r="L60" s="21"/>
      <c r="M60" s="21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5.75" customHeight="1">
      <c r="A61" s="21"/>
      <c r="B61" s="21"/>
      <c r="C61" s="25"/>
      <c r="D61" s="26" t="s">
        <v>28</v>
      </c>
      <c r="E61" s="46"/>
      <c r="F61" s="29"/>
      <c r="G61" s="29"/>
      <c r="H61" s="46"/>
      <c r="I61" s="29"/>
      <c r="J61" s="21"/>
      <c r="K61" s="21"/>
      <c r="L61" s="21"/>
      <c r="M61" s="21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5.75" customHeight="1">
      <c r="A62" s="21"/>
      <c r="B62" s="21"/>
      <c r="C62" s="25"/>
      <c r="D62" s="26" t="s">
        <v>29</v>
      </c>
      <c r="E62" s="46"/>
      <c r="F62" s="29"/>
      <c r="G62" s="29"/>
      <c r="H62" s="46"/>
      <c r="I62" s="29"/>
      <c r="J62" s="21"/>
      <c r="K62" s="21"/>
      <c r="L62" s="21"/>
      <c r="M62" s="21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75" customHeight="1">
      <c r="A63" s="21"/>
      <c r="B63" s="21"/>
      <c r="C63" s="25" t="s">
        <v>39</v>
      </c>
      <c r="D63" s="34" t="s">
        <v>24</v>
      </c>
      <c r="E63" s="46"/>
      <c r="F63" s="29"/>
      <c r="G63" s="29"/>
      <c r="H63" s="5"/>
      <c r="I63" s="29"/>
      <c r="J63" s="21"/>
      <c r="K63" s="21"/>
      <c r="L63" s="21"/>
      <c r="M63" s="21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75" customHeight="1">
      <c r="A64" s="21"/>
      <c r="B64" s="21"/>
      <c r="C64" s="25"/>
      <c r="D64" s="34" t="s">
        <v>25</v>
      </c>
      <c r="E64" s="46"/>
      <c r="F64" s="29"/>
      <c r="G64" s="29"/>
      <c r="H64" s="5"/>
      <c r="I64" s="29"/>
      <c r="J64" s="21"/>
      <c r="K64" s="21"/>
      <c r="L64" s="21"/>
      <c r="M64" s="21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5.75" customHeight="1">
      <c r="A65" s="21"/>
      <c r="B65" s="21"/>
      <c r="C65" s="25"/>
      <c r="D65" s="34" t="s">
        <v>40</v>
      </c>
      <c r="E65" s="46"/>
      <c r="F65" s="29"/>
      <c r="G65" s="29"/>
      <c r="H65" s="5"/>
      <c r="I65" s="29"/>
      <c r="J65" s="21"/>
      <c r="K65" s="21"/>
      <c r="L65" s="21"/>
      <c r="M65" s="21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5.75" customHeight="1">
      <c r="A66" s="21"/>
      <c r="B66" s="43"/>
      <c r="C66" s="25"/>
      <c r="D66" s="34" t="s">
        <v>41</v>
      </c>
      <c r="E66" s="46"/>
      <c r="F66" s="29"/>
      <c r="G66" s="29"/>
      <c r="H66" s="5"/>
      <c r="I66" s="29"/>
      <c r="J66" s="21"/>
      <c r="K66" s="21"/>
      <c r="L66" s="21"/>
      <c r="M66" s="21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5.75" customHeight="1">
      <c r="A67" s="21"/>
      <c r="B67" s="21"/>
      <c r="C67" s="25"/>
      <c r="D67" s="34" t="s">
        <v>42</v>
      </c>
      <c r="E67" s="46"/>
      <c r="F67" s="35"/>
      <c r="G67" s="36"/>
      <c r="H67" s="37"/>
      <c r="I67" s="36"/>
      <c r="J67" s="21"/>
      <c r="K67" s="21"/>
      <c r="L67" s="21"/>
      <c r="M67" s="21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5.75" customHeight="1">
      <c r="A68" s="21"/>
      <c r="B68" s="21"/>
      <c r="C68" s="25"/>
      <c r="D68" s="34" t="s">
        <v>43</v>
      </c>
      <c r="E68" s="46"/>
      <c r="F68" s="36"/>
      <c r="G68" s="36"/>
      <c r="H68" s="37"/>
      <c r="I68" s="36"/>
      <c r="J68" s="21"/>
      <c r="K68" s="21"/>
      <c r="L68" s="21"/>
      <c r="M68" s="21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5.75" customHeight="1">
      <c r="A69" s="21"/>
      <c r="B69" s="21"/>
      <c r="C69" s="25"/>
      <c r="D69" s="34" t="s">
        <v>44</v>
      </c>
      <c r="E69" s="46"/>
      <c r="F69" s="36"/>
      <c r="G69" s="36"/>
      <c r="H69" s="37"/>
      <c r="I69" s="36"/>
      <c r="J69" s="21"/>
      <c r="K69" s="21"/>
      <c r="L69" s="21"/>
      <c r="M69" s="21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5.75" customHeight="1">
      <c r="A70" s="21"/>
      <c r="B70" s="21"/>
      <c r="C70" s="25"/>
      <c r="D70" s="34" t="s">
        <v>45</v>
      </c>
      <c r="E70" s="46"/>
      <c r="F70" s="36"/>
      <c r="G70" s="36"/>
      <c r="H70" s="37"/>
      <c r="I70" s="36"/>
      <c r="J70" s="21"/>
      <c r="K70" s="21"/>
      <c r="L70" s="21"/>
      <c r="M70" s="21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5.75" customHeight="1">
      <c r="A71" s="21"/>
      <c r="B71" s="21"/>
      <c r="C71" s="25"/>
      <c r="D71" s="34" t="s">
        <v>46</v>
      </c>
      <c r="E71" s="46"/>
      <c r="F71" s="29"/>
      <c r="G71" s="29"/>
      <c r="H71" s="5"/>
      <c r="I71" s="29"/>
      <c r="J71" s="21"/>
      <c r="K71" s="21"/>
      <c r="L71" s="21"/>
      <c r="M71" s="21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5.75" customHeight="1">
      <c r="A72" s="21"/>
      <c r="B72" s="21"/>
      <c r="C72" s="25" t="s">
        <v>47</v>
      </c>
      <c r="D72" s="34" t="s">
        <v>24</v>
      </c>
      <c r="E72" s="46"/>
      <c r="F72" s="29"/>
      <c r="G72" s="29"/>
      <c r="H72" s="5"/>
      <c r="I72" s="29"/>
      <c r="J72" s="21"/>
      <c r="K72" s="21"/>
      <c r="L72" s="21"/>
      <c r="M72" s="21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5.75" customHeight="1">
      <c r="A73" s="21"/>
      <c r="B73" s="21"/>
      <c r="C73" s="25"/>
      <c r="D73" s="34" t="s">
        <v>25</v>
      </c>
      <c r="E73" s="46"/>
      <c r="F73" s="29"/>
      <c r="G73" s="29"/>
      <c r="H73" s="5"/>
      <c r="I73" s="29"/>
      <c r="J73" s="21"/>
      <c r="K73" s="21"/>
      <c r="L73" s="21"/>
      <c r="M73" s="21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75" customHeight="1">
      <c r="A74" s="21"/>
      <c r="B74" s="21"/>
      <c r="C74" s="25"/>
      <c r="D74" s="34" t="s">
        <v>40</v>
      </c>
      <c r="E74" s="46"/>
      <c r="F74" s="29"/>
      <c r="G74" s="29"/>
      <c r="H74" s="5"/>
      <c r="I74" s="29"/>
      <c r="J74" s="21"/>
      <c r="K74" s="21"/>
      <c r="L74" s="21"/>
      <c r="M74" s="21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5.75" customHeight="1">
      <c r="A75" s="21"/>
      <c r="B75" s="21"/>
      <c r="C75" s="25"/>
      <c r="D75" s="34" t="s">
        <v>41</v>
      </c>
      <c r="E75" s="46"/>
      <c r="F75" s="29"/>
      <c r="G75" s="29"/>
      <c r="H75" s="5"/>
      <c r="I75" s="29"/>
      <c r="J75" s="21"/>
      <c r="K75" s="21"/>
      <c r="L75" s="21"/>
      <c r="M75" s="21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5.75" customHeight="1">
      <c r="A76" s="21"/>
      <c r="B76" s="21"/>
      <c r="C76" s="25"/>
      <c r="D76" s="34" t="s">
        <v>42</v>
      </c>
      <c r="E76" s="46"/>
      <c r="F76" s="29"/>
      <c r="G76" s="29"/>
      <c r="H76" s="5"/>
      <c r="I76" s="29"/>
      <c r="J76" s="21"/>
      <c r="K76" s="21"/>
      <c r="L76" s="21"/>
      <c r="M76" s="21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5.75" customHeight="1">
      <c r="A77" s="21"/>
      <c r="B77" s="21"/>
      <c r="C77" s="25"/>
      <c r="D77" s="34" t="s">
        <v>43</v>
      </c>
      <c r="E77" s="46"/>
      <c r="F77" s="29"/>
      <c r="G77" s="29"/>
      <c r="H77" s="5"/>
      <c r="I77" s="29"/>
      <c r="J77" s="21"/>
      <c r="K77" s="21"/>
      <c r="L77" s="21"/>
      <c r="M77" s="21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5.75" customHeight="1">
      <c r="A78" s="21"/>
      <c r="B78" s="21"/>
      <c r="C78" s="25"/>
      <c r="D78" s="34" t="s">
        <v>44</v>
      </c>
      <c r="E78" s="46"/>
      <c r="F78" s="29"/>
      <c r="G78" s="29"/>
      <c r="H78" s="5"/>
      <c r="I78" s="29"/>
      <c r="J78" s="21"/>
      <c r="K78" s="21"/>
      <c r="L78" s="21"/>
      <c r="M78" s="21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5.75" customHeight="1">
      <c r="A79" s="21"/>
      <c r="B79" s="21"/>
      <c r="C79" s="25"/>
      <c r="D79" s="34" t="s">
        <v>45</v>
      </c>
      <c r="E79" s="46"/>
      <c r="F79" s="29"/>
      <c r="G79" s="29"/>
      <c r="H79" s="5"/>
      <c r="I79" s="29"/>
      <c r="J79" s="21"/>
      <c r="K79" s="21"/>
      <c r="L79" s="21"/>
      <c r="M79" s="21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5.75" customHeight="1">
      <c r="A80" s="21"/>
      <c r="B80" s="21"/>
      <c r="C80" s="25"/>
      <c r="D80" s="34" t="s">
        <v>46</v>
      </c>
      <c r="E80" s="46"/>
      <c r="F80" s="29"/>
      <c r="G80" s="29"/>
      <c r="H80" s="5"/>
      <c r="I80" s="29"/>
      <c r="J80" s="21"/>
      <c r="K80" s="21"/>
      <c r="L80" s="21"/>
      <c r="M80" s="21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5.75" customHeight="1">
      <c r="A81" s="21"/>
      <c r="B81" s="21"/>
      <c r="C81" s="25" t="s">
        <v>48</v>
      </c>
      <c r="D81" s="34" t="s">
        <v>24</v>
      </c>
      <c r="E81" s="46"/>
      <c r="F81" s="29"/>
      <c r="G81" s="29"/>
      <c r="H81" s="29"/>
      <c r="I81" s="29"/>
      <c r="J81" s="21"/>
      <c r="K81" s="21"/>
      <c r="L81" s="21"/>
      <c r="M81" s="21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5.75" customHeight="1">
      <c r="A82" s="21"/>
      <c r="B82" s="21"/>
      <c r="C82" s="25"/>
      <c r="D82" s="34" t="s">
        <v>25</v>
      </c>
      <c r="E82" s="46"/>
      <c r="F82" s="29"/>
      <c r="G82" s="29"/>
      <c r="H82" s="29"/>
      <c r="I82" s="29"/>
      <c r="J82" s="21"/>
      <c r="K82" s="21"/>
      <c r="L82" s="21"/>
      <c r="M82" s="21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5.75" customHeight="1">
      <c r="A83" s="21"/>
      <c r="B83" s="21"/>
      <c r="C83" s="25"/>
      <c r="D83" s="34" t="s">
        <v>26</v>
      </c>
      <c r="E83" s="46"/>
      <c r="F83" s="29"/>
      <c r="G83" s="29"/>
      <c r="H83" s="29"/>
      <c r="I83" s="29"/>
      <c r="J83" s="21"/>
      <c r="K83" s="21"/>
      <c r="L83" s="21"/>
      <c r="M83" s="21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5.75" customHeight="1">
      <c r="A84" s="21"/>
      <c r="B84" s="21"/>
      <c r="C84" s="25"/>
      <c r="D84" s="34" t="s">
        <v>27</v>
      </c>
      <c r="E84" s="46"/>
      <c r="F84" s="29"/>
      <c r="G84" s="29"/>
      <c r="H84" s="29"/>
      <c r="I84" s="29"/>
      <c r="J84" s="21"/>
      <c r="K84" s="21"/>
      <c r="L84" s="21"/>
      <c r="M84" s="21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5.75" customHeight="1">
      <c r="A85" s="21"/>
      <c r="B85" s="21"/>
      <c r="C85" s="25"/>
      <c r="D85" s="34" t="s">
        <v>28</v>
      </c>
      <c r="E85" s="46"/>
      <c r="F85" s="29"/>
      <c r="G85" s="29"/>
      <c r="H85" s="29"/>
      <c r="I85" s="29"/>
      <c r="J85" s="21"/>
      <c r="K85" s="21"/>
      <c r="L85" s="21"/>
      <c r="M85" s="21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5.75" customHeight="1">
      <c r="A86" s="21"/>
      <c r="B86" s="21"/>
      <c r="C86" s="25"/>
      <c r="D86" s="34" t="s">
        <v>29</v>
      </c>
      <c r="E86" s="46"/>
      <c r="F86" s="29"/>
      <c r="G86" s="29"/>
      <c r="H86" s="29"/>
      <c r="I86" s="29"/>
      <c r="J86" s="21"/>
      <c r="K86" s="21"/>
      <c r="L86" s="21"/>
      <c r="M86" s="21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5.75" customHeight="1">
      <c r="A87" s="21"/>
      <c r="B87" s="21"/>
      <c r="C87" s="25">
        <v>1773.0</v>
      </c>
      <c r="D87" s="34" t="s">
        <v>24</v>
      </c>
      <c r="E87" s="46"/>
      <c r="F87" s="29"/>
      <c r="G87" s="29"/>
      <c r="H87" s="29"/>
      <c r="I87" s="29"/>
      <c r="J87" s="21"/>
      <c r="K87" s="21"/>
      <c r="L87" s="21"/>
      <c r="M87" s="21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5.75" customHeight="1">
      <c r="A88" s="21"/>
      <c r="B88" s="21"/>
      <c r="C88" s="25"/>
      <c r="D88" s="34" t="s">
        <v>25</v>
      </c>
      <c r="E88" s="46"/>
      <c r="F88" s="29"/>
      <c r="G88" s="29"/>
      <c r="H88" s="29"/>
      <c r="I88" s="29"/>
      <c r="J88" s="21"/>
      <c r="K88" s="21"/>
      <c r="L88" s="21"/>
      <c r="M88" s="21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5.75" customHeight="1">
      <c r="A89" s="21"/>
      <c r="B89" s="21"/>
      <c r="C89" s="25"/>
      <c r="D89" s="34" t="s">
        <v>26</v>
      </c>
      <c r="E89" s="46"/>
      <c r="F89" s="29"/>
      <c r="G89" s="29"/>
      <c r="H89" s="29"/>
      <c r="I89" s="29"/>
      <c r="J89" s="21"/>
      <c r="K89" s="21"/>
      <c r="L89" s="21"/>
      <c r="M89" s="21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5.75" customHeight="1">
      <c r="A90" s="21"/>
      <c r="B90" s="21"/>
      <c r="C90" s="25"/>
      <c r="D90" s="34" t="s">
        <v>27</v>
      </c>
      <c r="E90" s="46"/>
      <c r="F90" s="29"/>
      <c r="G90" s="29"/>
      <c r="H90" s="29"/>
      <c r="I90" s="29"/>
      <c r="J90" s="21"/>
      <c r="K90" s="21"/>
      <c r="L90" s="21"/>
      <c r="M90" s="21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5.75" customHeight="1">
      <c r="A91" s="21"/>
      <c r="B91" s="21"/>
      <c r="C91" s="25"/>
      <c r="D91" s="34" t="s">
        <v>28</v>
      </c>
      <c r="E91" s="46"/>
      <c r="F91" s="29"/>
      <c r="G91" s="29"/>
      <c r="H91" s="29"/>
      <c r="I91" s="29"/>
      <c r="J91" s="21"/>
      <c r="K91" s="21"/>
      <c r="L91" s="21"/>
      <c r="M91" s="21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5.75" customHeight="1">
      <c r="A92" s="21"/>
      <c r="B92" s="21"/>
      <c r="C92" s="25"/>
      <c r="D92" s="34" t="s">
        <v>29</v>
      </c>
      <c r="E92" s="46"/>
      <c r="F92" s="29"/>
      <c r="G92" s="29"/>
      <c r="H92" s="29"/>
      <c r="I92" s="29"/>
      <c r="J92" s="21"/>
      <c r="K92" s="21"/>
      <c r="L92" s="21"/>
      <c r="M92" s="21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5.75" customHeight="1">
      <c r="A93" s="21"/>
      <c r="B93" s="21"/>
      <c r="C93" s="25" t="s">
        <v>49</v>
      </c>
      <c r="D93" s="34" t="s">
        <v>24</v>
      </c>
      <c r="E93" s="46"/>
      <c r="F93" s="38"/>
      <c r="G93" s="29"/>
      <c r="H93" s="39"/>
      <c r="I93" s="47"/>
      <c r="J93" s="21"/>
      <c r="K93" s="21"/>
      <c r="L93" s="21"/>
      <c r="M93" s="21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75" customHeight="1">
      <c r="A94" s="21"/>
      <c r="B94" s="21"/>
      <c r="C94" s="25"/>
      <c r="D94" s="34" t="s">
        <v>25</v>
      </c>
      <c r="E94" s="46"/>
      <c r="F94" s="29"/>
      <c r="G94" s="29"/>
      <c r="H94" s="40"/>
      <c r="I94" s="47"/>
      <c r="J94" s="21"/>
      <c r="K94" s="21"/>
      <c r="L94" s="21"/>
      <c r="M94" s="21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75" customHeight="1">
      <c r="A95" s="21"/>
      <c r="B95" s="21"/>
      <c r="C95" s="25"/>
      <c r="D95" s="34" t="s">
        <v>26</v>
      </c>
      <c r="E95" s="46"/>
      <c r="F95" s="29"/>
      <c r="G95" s="29"/>
      <c r="H95" s="40"/>
      <c r="I95" s="47"/>
      <c r="J95" s="21"/>
      <c r="K95" s="21"/>
      <c r="L95" s="21"/>
      <c r="M95" s="21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75" customHeight="1">
      <c r="A96" s="21"/>
      <c r="B96" s="21"/>
      <c r="C96" s="25"/>
      <c r="D96" s="34" t="s">
        <v>27</v>
      </c>
      <c r="E96" s="46"/>
      <c r="F96" s="29"/>
      <c r="G96" s="29"/>
      <c r="H96" s="40"/>
      <c r="I96" s="47"/>
      <c r="J96" s="21"/>
      <c r="K96" s="21"/>
      <c r="L96" s="21"/>
      <c r="M96" s="21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75" customHeight="1">
      <c r="A97" s="21"/>
      <c r="B97" s="21"/>
      <c r="C97" s="25"/>
      <c r="D97" s="34" t="s">
        <v>28</v>
      </c>
      <c r="E97" s="46"/>
      <c r="F97" s="29"/>
      <c r="G97" s="29"/>
      <c r="H97" s="40"/>
      <c r="I97" s="47"/>
      <c r="J97" s="21"/>
      <c r="K97" s="21"/>
      <c r="L97" s="21"/>
      <c r="M97" s="21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75" customHeight="1">
      <c r="A98" s="21"/>
      <c r="B98" s="21"/>
      <c r="C98" s="25"/>
      <c r="D98" s="34" t="s">
        <v>29</v>
      </c>
      <c r="E98" s="46"/>
      <c r="F98" s="29"/>
      <c r="G98" s="29"/>
      <c r="H98" s="40"/>
      <c r="I98" s="47"/>
      <c r="J98" s="21"/>
      <c r="K98" s="21"/>
      <c r="L98" s="21"/>
      <c r="M98" s="21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75" customHeight="1">
      <c r="A99" s="21"/>
      <c r="B99" s="21"/>
      <c r="C99" s="25" t="s">
        <v>50</v>
      </c>
      <c r="D99" s="34" t="s">
        <v>24</v>
      </c>
      <c r="E99" s="46"/>
      <c r="F99" s="29"/>
      <c r="G99" s="29"/>
      <c r="H99" s="40"/>
      <c r="I99" s="47"/>
      <c r="J99" s="21"/>
      <c r="K99" s="21"/>
      <c r="L99" s="21"/>
      <c r="M99" s="21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75" customHeight="1">
      <c r="A100" s="21"/>
      <c r="B100" s="21"/>
      <c r="C100" s="25"/>
      <c r="D100" s="34" t="s">
        <v>25</v>
      </c>
      <c r="E100" s="46"/>
      <c r="F100" s="29"/>
      <c r="G100" s="29"/>
      <c r="H100" s="40"/>
      <c r="I100" s="47"/>
      <c r="J100" s="21"/>
      <c r="K100" s="21"/>
      <c r="L100" s="21"/>
      <c r="M100" s="21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75" customHeight="1">
      <c r="A101" s="21"/>
      <c r="B101" s="21"/>
      <c r="C101" s="25"/>
      <c r="D101" s="34" t="s">
        <v>40</v>
      </c>
      <c r="E101" s="46"/>
      <c r="F101" s="29"/>
      <c r="G101" s="29"/>
      <c r="H101" s="40"/>
      <c r="I101" s="47"/>
      <c r="J101" s="21"/>
      <c r="K101" s="21"/>
      <c r="L101" s="21"/>
      <c r="M101" s="21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75" customHeight="1">
      <c r="A102" s="21"/>
      <c r="B102" s="21"/>
      <c r="C102" s="25"/>
      <c r="D102" s="34" t="s">
        <v>41</v>
      </c>
      <c r="E102" s="46"/>
      <c r="F102" s="29"/>
      <c r="G102" s="29"/>
      <c r="H102" s="40"/>
      <c r="I102" s="47"/>
      <c r="J102" s="21"/>
      <c r="K102" s="21"/>
      <c r="L102" s="21"/>
      <c r="M102" s="21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75" customHeight="1">
      <c r="A103" s="21"/>
      <c r="B103" s="21"/>
      <c r="C103" s="25"/>
      <c r="D103" s="34" t="s">
        <v>27</v>
      </c>
      <c r="E103" s="46"/>
      <c r="F103" s="29"/>
      <c r="G103" s="29"/>
      <c r="H103" s="40"/>
      <c r="I103" s="47"/>
      <c r="J103" s="21"/>
      <c r="K103" s="21"/>
      <c r="L103" s="21"/>
      <c r="M103" s="21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75" customHeight="1">
      <c r="A104" s="21"/>
      <c r="B104" s="21"/>
      <c r="C104" s="25"/>
      <c r="D104" s="34" t="s">
        <v>28</v>
      </c>
      <c r="E104" s="49">
        <v>1197.56</v>
      </c>
      <c r="F104" s="29"/>
      <c r="G104" s="29"/>
      <c r="H104" s="40"/>
      <c r="I104" s="50">
        <v>4450.08</v>
      </c>
      <c r="J104" s="21"/>
      <c r="K104" s="21"/>
      <c r="L104" s="21"/>
      <c r="M104" s="21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75" customHeight="1">
      <c r="A105" s="21"/>
      <c r="B105" s="21"/>
      <c r="C105" s="25"/>
      <c r="D105" s="34" t="s">
        <v>29</v>
      </c>
      <c r="E105" s="46"/>
      <c r="F105" s="29"/>
      <c r="G105" s="29"/>
      <c r="H105" s="40"/>
      <c r="I105" s="47"/>
      <c r="J105" s="21"/>
      <c r="K105" s="21"/>
      <c r="L105" s="21"/>
      <c r="M105" s="21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75" customHeight="1">
      <c r="A106" s="21"/>
      <c r="B106" s="21"/>
      <c r="C106" s="25"/>
      <c r="D106" s="34" t="s">
        <v>51</v>
      </c>
      <c r="E106" s="46"/>
      <c r="F106" s="29"/>
      <c r="G106" s="29"/>
      <c r="H106" s="40"/>
      <c r="I106" s="47"/>
      <c r="J106" s="21"/>
      <c r="K106" s="21"/>
      <c r="L106" s="21"/>
      <c r="M106" s="21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75" customHeight="1">
      <c r="A107" s="21"/>
      <c r="B107" s="21"/>
      <c r="C107" s="25" t="s">
        <v>52</v>
      </c>
      <c r="D107" s="34" t="s">
        <v>24</v>
      </c>
      <c r="E107" s="46"/>
      <c r="F107" s="29"/>
      <c r="G107" s="29"/>
      <c r="H107" s="40"/>
      <c r="I107" s="47"/>
      <c r="J107" s="21"/>
      <c r="K107" s="21"/>
      <c r="L107" s="21"/>
      <c r="M107" s="21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75" customHeight="1">
      <c r="A108" s="21"/>
      <c r="B108" s="21"/>
      <c r="C108" s="25"/>
      <c r="D108" s="34" t="s">
        <v>25</v>
      </c>
      <c r="E108" s="46"/>
      <c r="F108" s="29"/>
      <c r="G108" s="29"/>
      <c r="H108" s="40"/>
      <c r="I108" s="47"/>
      <c r="J108" s="21"/>
      <c r="K108" s="21"/>
      <c r="L108" s="21"/>
      <c r="M108" s="21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75" customHeight="1">
      <c r="A109" s="21"/>
      <c r="B109" s="21"/>
      <c r="C109" s="25"/>
      <c r="D109" s="34" t="s">
        <v>40</v>
      </c>
      <c r="E109" s="46"/>
      <c r="F109" s="29"/>
      <c r="G109" s="29"/>
      <c r="H109" s="40"/>
      <c r="I109" s="47"/>
      <c r="J109" s="21"/>
      <c r="K109" s="21"/>
      <c r="L109" s="21"/>
      <c r="M109" s="21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75" customHeight="1">
      <c r="A110" s="21"/>
      <c r="B110" s="21"/>
      <c r="C110" s="25"/>
      <c r="D110" s="34" t="s">
        <v>41</v>
      </c>
      <c r="E110" s="46"/>
      <c r="F110" s="29"/>
      <c r="G110" s="29"/>
      <c r="H110" s="40"/>
      <c r="I110" s="47"/>
      <c r="J110" s="21"/>
      <c r="K110" s="21"/>
      <c r="L110" s="21"/>
      <c r="M110" s="21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75" customHeight="1">
      <c r="A111" s="21"/>
      <c r="B111" s="21"/>
      <c r="C111" s="25"/>
      <c r="D111" s="34" t="s">
        <v>27</v>
      </c>
      <c r="E111" s="46"/>
      <c r="F111" s="29"/>
      <c r="G111" s="29"/>
      <c r="H111" s="40"/>
      <c r="I111" s="47"/>
      <c r="J111" s="21"/>
      <c r="K111" s="21"/>
      <c r="L111" s="21"/>
      <c r="M111" s="21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75" customHeight="1">
      <c r="A112" s="21"/>
      <c r="B112" s="21"/>
      <c r="C112" s="25"/>
      <c r="D112" s="34" t="s">
        <v>28</v>
      </c>
      <c r="E112" s="46"/>
      <c r="F112" s="29"/>
      <c r="G112" s="29"/>
      <c r="H112" s="40"/>
      <c r="I112" s="47"/>
      <c r="J112" s="21"/>
      <c r="K112" s="21"/>
      <c r="L112" s="21"/>
      <c r="M112" s="21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75" customHeight="1">
      <c r="A113" s="21"/>
      <c r="B113" s="21"/>
      <c r="C113" s="25"/>
      <c r="D113" s="34" t="s">
        <v>29</v>
      </c>
      <c r="E113" s="46"/>
      <c r="F113" s="29"/>
      <c r="G113" s="29"/>
      <c r="H113" s="40"/>
      <c r="I113" s="47"/>
      <c r="J113" s="21"/>
      <c r="K113" s="21"/>
      <c r="L113" s="21"/>
      <c r="M113" s="21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75" customHeight="1">
      <c r="A114" s="21"/>
      <c r="B114" s="21"/>
      <c r="C114" s="25"/>
      <c r="D114" s="34" t="s">
        <v>51</v>
      </c>
      <c r="E114" s="46"/>
      <c r="F114" s="29"/>
      <c r="G114" s="29"/>
      <c r="H114" s="40"/>
      <c r="I114" s="47"/>
      <c r="J114" s="21"/>
      <c r="K114" s="21"/>
      <c r="L114" s="21"/>
      <c r="M114" s="21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75" customHeight="1">
      <c r="A115" s="21"/>
      <c r="B115" s="21"/>
      <c r="C115" s="25" t="s">
        <v>53</v>
      </c>
      <c r="D115" s="34" t="s">
        <v>24</v>
      </c>
      <c r="E115" s="46"/>
      <c r="F115" s="29"/>
      <c r="G115" s="29"/>
      <c r="H115" s="40"/>
      <c r="I115" s="47"/>
      <c r="J115" s="21"/>
      <c r="K115" s="21"/>
      <c r="L115" s="21"/>
      <c r="M115" s="21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75" customHeight="1">
      <c r="A116" s="21"/>
      <c r="B116" s="21"/>
      <c r="C116" s="25"/>
      <c r="D116" s="34" t="s">
        <v>25</v>
      </c>
      <c r="E116" s="46"/>
      <c r="F116" s="29"/>
      <c r="G116" s="29"/>
      <c r="H116" s="40"/>
      <c r="I116" s="47"/>
      <c r="J116" s="21"/>
      <c r="K116" s="21"/>
      <c r="L116" s="21"/>
      <c r="M116" s="21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75" customHeight="1">
      <c r="A117" s="21"/>
      <c r="B117" s="21"/>
      <c r="C117" s="25"/>
      <c r="D117" s="34" t="s">
        <v>26</v>
      </c>
      <c r="E117" s="46"/>
      <c r="F117" s="29"/>
      <c r="G117" s="29"/>
      <c r="H117" s="40"/>
      <c r="I117" s="47"/>
      <c r="J117" s="21"/>
      <c r="K117" s="21"/>
      <c r="L117" s="21"/>
      <c r="M117" s="21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75" customHeight="1">
      <c r="A118" s="21"/>
      <c r="B118" s="21"/>
      <c r="C118" s="25"/>
      <c r="D118" s="34" t="s">
        <v>27</v>
      </c>
      <c r="E118" s="46"/>
      <c r="F118" s="29"/>
      <c r="G118" s="29"/>
      <c r="H118" s="40"/>
      <c r="I118" s="47"/>
      <c r="J118" s="21"/>
      <c r="K118" s="21"/>
      <c r="L118" s="21"/>
      <c r="M118" s="21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75" customHeight="1">
      <c r="A119" s="21"/>
      <c r="B119" s="21"/>
      <c r="C119" s="25"/>
      <c r="D119" s="34" t="s">
        <v>28</v>
      </c>
      <c r="E119" s="46"/>
      <c r="F119" s="29"/>
      <c r="G119" s="29"/>
      <c r="H119" s="40"/>
      <c r="I119" s="47"/>
      <c r="J119" s="21"/>
      <c r="K119" s="21"/>
      <c r="L119" s="21"/>
      <c r="M119" s="21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75" customHeight="1">
      <c r="A120" s="21"/>
      <c r="B120" s="21"/>
      <c r="C120" s="25"/>
      <c r="D120" s="34" t="s">
        <v>29</v>
      </c>
      <c r="E120" s="46"/>
      <c r="F120" s="29"/>
      <c r="G120" s="29"/>
      <c r="H120" s="40"/>
      <c r="I120" s="47"/>
      <c r="J120" s="21"/>
      <c r="K120" s="21"/>
      <c r="L120" s="21"/>
      <c r="M120" s="21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75" customHeight="1">
      <c r="A121" s="21"/>
      <c r="B121" s="21"/>
      <c r="C121" s="25"/>
      <c r="D121" s="34" t="s">
        <v>54</v>
      </c>
      <c r="E121" s="46"/>
      <c r="F121" s="29"/>
      <c r="G121" s="29"/>
      <c r="H121" s="40"/>
      <c r="I121" s="47"/>
      <c r="J121" s="21"/>
      <c r="K121" s="21"/>
      <c r="L121" s="21"/>
      <c r="M121" s="21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75" customHeight="1">
      <c r="A122" s="21"/>
      <c r="B122" s="21"/>
      <c r="C122" s="41" t="s">
        <v>55</v>
      </c>
      <c r="D122" s="42" t="s">
        <v>56</v>
      </c>
      <c r="E122" s="46"/>
      <c r="F122" s="29"/>
      <c r="G122" s="29"/>
      <c r="H122" s="40"/>
      <c r="I122" s="47"/>
      <c r="J122" s="21"/>
      <c r="K122" s="21"/>
      <c r="L122" s="21"/>
      <c r="M122" s="21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75" customHeight="1">
      <c r="A123" s="21"/>
      <c r="B123" s="21"/>
      <c r="C123" s="25" t="s">
        <v>60</v>
      </c>
      <c r="D123" s="34" t="s">
        <v>24</v>
      </c>
      <c r="E123" s="46"/>
      <c r="F123" s="29"/>
      <c r="G123" s="29"/>
      <c r="H123" s="40"/>
      <c r="I123" s="47"/>
      <c r="J123" s="21"/>
      <c r="K123" s="21"/>
      <c r="L123" s="21"/>
      <c r="M123" s="21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75" customHeight="1">
      <c r="A124" s="21"/>
      <c r="B124" s="21"/>
      <c r="C124" s="25"/>
      <c r="D124" s="34" t="s">
        <v>25</v>
      </c>
      <c r="E124" s="46"/>
      <c r="F124" s="29"/>
      <c r="G124" s="29"/>
      <c r="H124" s="40"/>
      <c r="I124" s="47"/>
      <c r="J124" s="21"/>
      <c r="K124" s="21"/>
      <c r="L124" s="21"/>
      <c r="M124" s="21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75" customHeight="1">
      <c r="A125" s="21"/>
      <c r="B125" s="21"/>
      <c r="C125" s="25"/>
      <c r="D125" s="34" t="s">
        <v>26</v>
      </c>
      <c r="E125" s="46"/>
      <c r="F125" s="29"/>
      <c r="G125" s="29"/>
      <c r="H125" s="40"/>
      <c r="I125" s="47"/>
      <c r="J125" s="21"/>
      <c r="K125" s="21"/>
      <c r="L125" s="21"/>
      <c r="M125" s="21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75" customHeight="1">
      <c r="A126" s="21"/>
      <c r="B126" s="21"/>
      <c r="C126" s="25"/>
      <c r="D126" s="34" t="s">
        <v>27</v>
      </c>
      <c r="E126" s="46"/>
      <c r="F126" s="29"/>
      <c r="G126" s="29"/>
      <c r="H126" s="40"/>
      <c r="I126" s="47"/>
      <c r="J126" s="21"/>
      <c r="K126" s="21"/>
      <c r="L126" s="21"/>
      <c r="M126" s="21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75" customHeight="1">
      <c r="A127" s="21"/>
      <c r="B127" s="21"/>
      <c r="C127" s="25"/>
      <c r="D127" s="34" t="s">
        <v>28</v>
      </c>
      <c r="E127" s="46"/>
      <c r="F127" s="29"/>
      <c r="G127" s="29"/>
      <c r="H127" s="40"/>
      <c r="I127" s="47"/>
      <c r="J127" s="21"/>
      <c r="K127" s="21"/>
      <c r="L127" s="21"/>
      <c r="M127" s="21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75" customHeight="1">
      <c r="A128" s="21"/>
      <c r="B128" s="21"/>
      <c r="C128" s="25"/>
      <c r="D128" s="34" t="s">
        <v>29</v>
      </c>
      <c r="E128" s="46"/>
      <c r="F128" s="29"/>
      <c r="G128" s="29"/>
      <c r="H128" s="40"/>
      <c r="I128" s="47"/>
      <c r="J128" s="21"/>
      <c r="K128" s="21"/>
      <c r="L128" s="21"/>
      <c r="M128" s="21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75" customHeight="1">
      <c r="A129" s="21"/>
      <c r="B129" s="21"/>
      <c r="C129" s="25"/>
      <c r="D129" s="34" t="s">
        <v>51</v>
      </c>
      <c r="E129" s="46"/>
      <c r="F129" s="29"/>
      <c r="G129" s="29"/>
      <c r="H129" s="40"/>
      <c r="I129" s="47"/>
      <c r="J129" s="21"/>
      <c r="K129" s="21"/>
      <c r="L129" s="21"/>
      <c r="M129" s="21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75" customHeight="1">
      <c r="A130" s="21"/>
      <c r="B130" s="21"/>
      <c r="C130" s="34" t="s">
        <v>58</v>
      </c>
      <c r="D130" s="34" t="s">
        <v>24</v>
      </c>
      <c r="E130" s="47"/>
      <c r="F130" s="29"/>
      <c r="G130" s="40"/>
      <c r="H130" s="29"/>
      <c r="I130" s="47"/>
      <c r="J130" s="21"/>
      <c r="K130" s="21"/>
      <c r="L130" s="21"/>
      <c r="M130" s="21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75" customHeight="1">
      <c r="A131" s="21"/>
      <c r="B131" s="21"/>
      <c r="C131" s="44"/>
      <c r="D131" s="34" t="s">
        <v>25</v>
      </c>
      <c r="E131" s="47"/>
      <c r="F131" s="29"/>
      <c r="G131" s="29"/>
      <c r="H131" s="29"/>
      <c r="I131" s="47"/>
      <c r="J131" s="21"/>
      <c r="K131" s="21"/>
      <c r="L131" s="21"/>
      <c r="M131" s="21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75" customHeight="1">
      <c r="A132" s="21"/>
      <c r="B132" s="21"/>
      <c r="C132" s="45"/>
      <c r="D132" s="34" t="s">
        <v>26</v>
      </c>
      <c r="E132" s="47"/>
      <c r="F132" s="29"/>
      <c r="G132" s="29"/>
      <c r="H132" s="29"/>
      <c r="I132" s="47"/>
      <c r="J132" s="21"/>
      <c r="K132" s="21"/>
      <c r="L132" s="21"/>
      <c r="M132" s="21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75" customHeight="1">
      <c r="A133" s="21"/>
      <c r="B133" s="21"/>
      <c r="C133" s="45"/>
      <c r="D133" s="34" t="s">
        <v>27</v>
      </c>
      <c r="E133" s="47"/>
      <c r="F133" s="29"/>
      <c r="G133" s="29"/>
      <c r="H133" s="29"/>
      <c r="I133" s="47"/>
      <c r="J133" s="21"/>
      <c r="K133" s="21"/>
      <c r="L133" s="21"/>
      <c r="M133" s="21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75" customHeight="1">
      <c r="A134" s="21"/>
      <c r="B134" s="21"/>
      <c r="C134" s="45"/>
      <c r="D134" s="34" t="s">
        <v>28</v>
      </c>
      <c r="E134" s="47"/>
      <c r="F134" s="29"/>
      <c r="G134" s="29"/>
      <c r="H134" s="29"/>
      <c r="I134" s="47"/>
      <c r="J134" s="21"/>
      <c r="K134" s="21"/>
      <c r="L134" s="21"/>
      <c r="M134" s="21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75" customHeight="1">
      <c r="A135" s="21"/>
      <c r="B135" s="21"/>
      <c r="C135" s="45"/>
      <c r="D135" s="34" t="s">
        <v>29</v>
      </c>
      <c r="E135" s="47"/>
      <c r="F135" s="29"/>
      <c r="G135" s="29"/>
      <c r="H135" s="29"/>
      <c r="I135" s="47"/>
      <c r="J135" s="21"/>
      <c r="K135" s="21"/>
      <c r="L135" s="21"/>
      <c r="M135" s="21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75" customHeight="1">
      <c r="A136" s="21"/>
      <c r="B136" s="21"/>
      <c r="C136" s="45"/>
      <c r="D136" s="34" t="s">
        <v>51</v>
      </c>
      <c r="E136" s="47"/>
      <c r="F136" s="29"/>
      <c r="G136" s="29"/>
      <c r="H136" s="29"/>
      <c r="I136" s="47"/>
      <c r="J136" s="21"/>
      <c r="K136" s="21"/>
      <c r="L136" s="21"/>
      <c r="M136" s="21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C1:I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2.71"/>
    <col customWidth="1" min="2" max="2" width="22.14"/>
    <col customWidth="1" min="3" max="4" width="10.71"/>
    <col customWidth="1" min="5" max="5" width="11.29"/>
    <col customWidth="1" min="6" max="6" width="10.71"/>
    <col customWidth="1" min="7" max="9" width="9.14"/>
    <col customWidth="1" min="10" max="10" width="9.29"/>
    <col customWidth="1" min="11" max="26" width="9.14"/>
    <col customWidth="1" hidden="1" min="27" max="27" width="10.43"/>
    <col customWidth="1" hidden="1" min="28" max="28" width="27.71"/>
    <col customWidth="1" hidden="1" min="29" max="43" width="8.0"/>
    <col customWidth="1" hidden="1" min="44" max="44" width="10.43"/>
    <col customWidth="1" hidden="1" min="45" max="46" width="8.0"/>
    <col customWidth="1" hidden="1" min="47" max="47" width="10.0"/>
    <col customWidth="1" hidden="1" min="48" max="50" width="8.0"/>
    <col customWidth="1" hidden="1" min="51" max="51" width="10.14"/>
  </cols>
  <sheetData>
    <row r="1" ht="15.75" customHeight="1">
      <c r="A1" s="51"/>
      <c r="B1" s="52" t="s">
        <v>61</v>
      </c>
      <c r="C1" s="7"/>
      <c r="D1" s="7"/>
      <c r="E1" s="7"/>
      <c r="F1" s="7"/>
      <c r="G1" s="7"/>
      <c r="H1" s="7"/>
      <c r="I1" s="7"/>
      <c r="J1" s="7"/>
      <c r="K1" s="7"/>
      <c r="L1" s="7"/>
      <c r="M1" s="8"/>
      <c r="N1" s="53"/>
      <c r="O1" s="51"/>
      <c r="P1" s="51"/>
      <c r="Q1" s="54"/>
      <c r="R1" s="54"/>
      <c r="S1" s="54"/>
      <c r="T1" s="54"/>
      <c r="U1" s="54"/>
      <c r="V1" s="54"/>
      <c r="W1" s="54"/>
      <c r="X1" s="54"/>
      <c r="Y1" s="54"/>
      <c r="Z1" s="54"/>
      <c r="AA1" s="55" t="s">
        <v>16</v>
      </c>
      <c r="AB1" s="55" t="s">
        <v>17</v>
      </c>
      <c r="AC1" s="55" t="s">
        <v>18</v>
      </c>
      <c r="AD1" s="56" t="s">
        <v>62</v>
      </c>
      <c r="AE1" s="56" t="s">
        <v>63</v>
      </c>
      <c r="AF1" s="57" t="s">
        <v>64</v>
      </c>
      <c r="AG1" s="58" t="s">
        <v>65</v>
      </c>
      <c r="AH1" s="59" t="s">
        <v>66</v>
      </c>
      <c r="AI1" s="60" t="s">
        <v>67</v>
      </c>
      <c r="AJ1" s="61" t="s">
        <v>68</v>
      </c>
      <c r="AK1" s="62" t="s">
        <v>69</v>
      </c>
      <c r="AL1" s="63" t="s">
        <v>70</v>
      </c>
      <c r="AM1" s="64" t="s">
        <v>71</v>
      </c>
      <c r="AN1" s="65" t="s">
        <v>72</v>
      </c>
      <c r="AO1" s="66" t="s">
        <v>73</v>
      </c>
      <c r="AP1" s="67" t="s">
        <v>74</v>
      </c>
      <c r="AQ1" s="68"/>
      <c r="AR1" s="68"/>
      <c r="AS1" s="55" t="s">
        <v>18</v>
      </c>
      <c r="AT1" s="69" t="s">
        <v>75</v>
      </c>
      <c r="AU1" s="70" t="s">
        <v>76</v>
      </c>
      <c r="AV1" s="71" t="s">
        <v>77</v>
      </c>
      <c r="AW1" s="72" t="s">
        <v>78</v>
      </c>
      <c r="AX1" s="73" t="s">
        <v>79</v>
      </c>
      <c r="AY1" s="71" t="s">
        <v>80</v>
      </c>
    </row>
    <row r="2" ht="16.5" customHeight="1">
      <c r="A2" s="51"/>
      <c r="B2" s="74" t="s">
        <v>81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1"/>
      <c r="P2" s="51"/>
      <c r="Q2" s="54"/>
      <c r="R2" s="54"/>
      <c r="S2" s="54"/>
      <c r="T2" s="54"/>
      <c r="U2" s="54"/>
      <c r="V2" s="54"/>
      <c r="W2" s="54"/>
      <c r="X2" s="54"/>
      <c r="Y2" s="54"/>
      <c r="Z2" s="54"/>
      <c r="AA2" s="75" t="s">
        <v>23</v>
      </c>
      <c r="AB2" s="76" t="s">
        <v>24</v>
      </c>
      <c r="AC2" s="56">
        <f>IF('Ship Data Imperial'!E3&gt;0,'Ship Data Imperial'!E3,AS2)</f>
        <v>0</v>
      </c>
      <c r="AD2" s="77"/>
      <c r="AE2" s="77"/>
      <c r="AF2" s="78"/>
      <c r="AG2" s="79">
        <f t="shared" ref="AG2:AG19" si="1">AC2*2.4</f>
        <v>0</v>
      </c>
      <c r="AH2" s="80">
        <f t="shared" ref="AH2:AH61" si="2">IF(AC2&gt;0,$AG$136*0.42,0)</f>
        <v>0</v>
      </c>
      <c r="AI2" s="81">
        <f t="shared" ref="AI2:AI13" si="3">IF(AC2&gt;0,$AG$136*0.8,0)</f>
        <v>0</v>
      </c>
      <c r="AJ2" s="82">
        <f t="shared" ref="AJ2:AJ61" si="4">IF(AC2&gt;0,$AI$136*0.42,0)</f>
        <v>0</v>
      </c>
      <c r="AK2" s="83">
        <f t="shared" ref="AK2:AK13" si="5">IF(AC2&gt;0,$AG$136*0.5,0)</f>
        <v>0</v>
      </c>
      <c r="AL2" s="84">
        <f>IF(AC2&gt;0,Masts!$C$14*0.5,0)</f>
        <v>0</v>
      </c>
      <c r="AM2" s="85"/>
      <c r="AN2" s="86">
        <f t="shared" ref="AN2:AN13" si="6">IF(AC2&gt;0,$AG$136*0.8,0)</f>
        <v>0</v>
      </c>
      <c r="AO2" s="87"/>
      <c r="AP2" s="88">
        <f t="shared" ref="AP2:AP19" si="7">IF(AC2&gt;0,$AI$136*0.47,0)</f>
        <v>0</v>
      </c>
      <c r="AQ2" s="68"/>
      <c r="AR2" s="75" t="s">
        <v>23</v>
      </c>
      <c r="AS2" s="56">
        <f>'Ship Data Metric'!E3*0.03280839895</f>
        <v>0</v>
      </c>
      <c r="AT2" s="69">
        <f t="shared" ref="AT2:AT19" si="8">IF(AC2&gt;0,($AG$136/3)*3.75,0)</f>
        <v>0</v>
      </c>
      <c r="AU2" s="87">
        <f t="shared" ref="AU2:AU19" si="9">IF(AC2&gt;0,($AI$136/3)*3.75,0)</f>
        <v>0</v>
      </c>
      <c r="AV2" s="88">
        <f t="shared" ref="AV2:AV97" si="10">IF(AC2&gt;0,($AK$136/3)*3.75,0)</f>
        <v>0</v>
      </c>
      <c r="AW2" s="80">
        <f t="shared" ref="AW2:AW43" si="11">IF(AC2&gt;0,($C$14/3)*0.5,0)</f>
        <v>0</v>
      </c>
      <c r="AX2" s="81">
        <f t="shared" ref="AX2:AX43" si="12">IF(AC2&gt;0,($C$10/3)*0.5,0)</f>
        <v>0</v>
      </c>
      <c r="AY2" s="88">
        <f t="shared" ref="AY2:AY43" si="13">IF(AC2&gt;0,($C$18/3)*0.5,0)</f>
        <v>0</v>
      </c>
    </row>
    <row r="3" ht="15.75" customHeight="1">
      <c r="A3" s="51"/>
      <c r="B3" s="89" t="s">
        <v>82</v>
      </c>
      <c r="C3" s="90" t="s">
        <v>83</v>
      </c>
      <c r="D3" s="91"/>
      <c r="E3" s="92" t="s">
        <v>84</v>
      </c>
      <c r="F3" s="91"/>
      <c r="G3" s="93" t="s">
        <v>85</v>
      </c>
      <c r="H3" s="94"/>
      <c r="I3" s="94"/>
      <c r="J3" s="91"/>
      <c r="K3" s="95" t="s">
        <v>86</v>
      </c>
      <c r="L3" s="94"/>
      <c r="M3" s="94"/>
      <c r="N3" s="91"/>
      <c r="O3" s="51"/>
      <c r="P3" s="51"/>
      <c r="Q3" s="54"/>
      <c r="R3" s="54"/>
      <c r="S3" s="54"/>
      <c r="T3" s="54"/>
      <c r="U3" s="54"/>
      <c r="V3" s="54"/>
      <c r="W3" s="54"/>
      <c r="X3" s="54"/>
      <c r="Y3" s="54"/>
      <c r="Z3" s="54"/>
      <c r="AA3" s="96"/>
      <c r="AB3" s="76" t="s">
        <v>25</v>
      </c>
      <c r="AC3" s="56">
        <f>IF('Ship Data Imperial'!E4&gt;0,'Ship Data Imperial'!E4,AS3)</f>
        <v>0</v>
      </c>
      <c r="AD3" s="77"/>
      <c r="AE3" s="77"/>
      <c r="AF3" s="78"/>
      <c r="AG3" s="79">
        <f t="shared" si="1"/>
        <v>0</v>
      </c>
      <c r="AH3" s="80">
        <f t="shared" si="2"/>
        <v>0</v>
      </c>
      <c r="AI3" s="81">
        <f t="shared" si="3"/>
        <v>0</v>
      </c>
      <c r="AJ3" s="82">
        <f t="shared" si="4"/>
        <v>0</v>
      </c>
      <c r="AK3" s="83">
        <f t="shared" si="5"/>
        <v>0</v>
      </c>
      <c r="AL3" s="84">
        <f>IF(AC3&gt;0,Masts!$C$14*0.5,0)</f>
        <v>0</v>
      </c>
      <c r="AM3" s="85"/>
      <c r="AN3" s="86">
        <f t="shared" si="6"/>
        <v>0</v>
      </c>
      <c r="AO3" s="87"/>
      <c r="AP3" s="88">
        <f t="shared" si="7"/>
        <v>0</v>
      </c>
      <c r="AQ3" s="54"/>
      <c r="AR3" s="96"/>
      <c r="AS3" s="56">
        <f>'Ship Data Metric'!E4*0.03280839895</f>
        <v>0</v>
      </c>
      <c r="AT3" s="69">
        <f t="shared" si="8"/>
        <v>0</v>
      </c>
      <c r="AU3" s="87">
        <f t="shared" si="9"/>
        <v>0</v>
      </c>
      <c r="AV3" s="88">
        <f t="shared" si="10"/>
        <v>0</v>
      </c>
      <c r="AW3" s="80">
        <f t="shared" si="11"/>
        <v>0</v>
      </c>
      <c r="AX3" s="81">
        <f t="shared" si="12"/>
        <v>0</v>
      </c>
      <c r="AY3" s="88">
        <f t="shared" si="13"/>
        <v>0</v>
      </c>
    </row>
    <row r="4" ht="15.75" customHeight="1">
      <c r="A4" s="51"/>
      <c r="B4" s="97"/>
      <c r="C4" s="98" t="s">
        <v>87</v>
      </c>
      <c r="D4" s="99" t="s">
        <v>88</v>
      </c>
      <c r="E4" s="100" t="s">
        <v>89</v>
      </c>
      <c r="F4" s="101" t="s">
        <v>90</v>
      </c>
      <c r="G4" s="102" t="s">
        <v>64</v>
      </c>
      <c r="H4" s="103" t="s">
        <v>91</v>
      </c>
      <c r="I4" s="103" t="s">
        <v>92</v>
      </c>
      <c r="J4" s="104" t="s">
        <v>93</v>
      </c>
      <c r="K4" s="105" t="s">
        <v>64</v>
      </c>
      <c r="L4" s="106" t="s">
        <v>91</v>
      </c>
      <c r="M4" s="106" t="s">
        <v>92</v>
      </c>
      <c r="N4" s="107" t="s">
        <v>93</v>
      </c>
      <c r="O4" s="51"/>
      <c r="P4" s="51"/>
      <c r="Q4" s="54"/>
      <c r="R4" s="54"/>
      <c r="S4" s="54"/>
      <c r="T4" s="54"/>
      <c r="U4" s="54"/>
      <c r="V4" s="54"/>
      <c r="W4" s="54"/>
      <c r="X4" s="54"/>
      <c r="Y4" s="54"/>
      <c r="Z4" s="54"/>
      <c r="AA4" s="96"/>
      <c r="AB4" s="76" t="s">
        <v>26</v>
      </c>
      <c r="AC4" s="56">
        <f>IF('Ship Data Imperial'!E5&gt;0,'Ship Data Imperial'!E5,AS4)</f>
        <v>0</v>
      </c>
      <c r="AD4" s="77"/>
      <c r="AE4" s="77"/>
      <c r="AF4" s="78"/>
      <c r="AG4" s="79">
        <f t="shared" si="1"/>
        <v>0</v>
      </c>
      <c r="AH4" s="80">
        <f t="shared" si="2"/>
        <v>0</v>
      </c>
      <c r="AI4" s="81">
        <f t="shared" si="3"/>
        <v>0</v>
      </c>
      <c r="AJ4" s="82">
        <f t="shared" si="4"/>
        <v>0</v>
      </c>
      <c r="AK4" s="83">
        <f t="shared" si="5"/>
        <v>0</v>
      </c>
      <c r="AL4" s="84">
        <f>IF(AC4&gt;0,Masts!$C$14*0.5,0)</f>
        <v>0</v>
      </c>
      <c r="AM4" s="85"/>
      <c r="AN4" s="86">
        <f t="shared" si="6"/>
        <v>0</v>
      </c>
      <c r="AO4" s="87"/>
      <c r="AP4" s="88">
        <f t="shared" si="7"/>
        <v>0</v>
      </c>
      <c r="AQ4" s="54"/>
      <c r="AR4" s="96"/>
      <c r="AS4" s="56">
        <f>'Ship Data Metric'!E5*0.03280839895</f>
        <v>0</v>
      </c>
      <c r="AT4" s="69">
        <f t="shared" si="8"/>
        <v>0</v>
      </c>
      <c r="AU4" s="87">
        <f t="shared" si="9"/>
        <v>0</v>
      </c>
      <c r="AV4" s="88">
        <f t="shared" si="10"/>
        <v>0</v>
      </c>
      <c r="AW4" s="80">
        <f t="shared" si="11"/>
        <v>0</v>
      </c>
      <c r="AX4" s="81">
        <f t="shared" si="12"/>
        <v>0</v>
      </c>
      <c r="AY4" s="88">
        <f t="shared" si="13"/>
        <v>0</v>
      </c>
    </row>
    <row r="5" ht="15.75" customHeight="1">
      <c r="A5" s="51"/>
      <c r="B5" s="108" t="s">
        <v>72</v>
      </c>
      <c r="C5" s="109">
        <f>AN136</f>
        <v>23.57401575</v>
      </c>
      <c r="D5" s="110">
        <f>AO272</f>
        <v>9.602482415</v>
      </c>
      <c r="E5" s="111">
        <f t="shared" ref="E5:E22" si="14">C5*30.48</f>
        <v>718.536</v>
      </c>
      <c r="F5" s="112">
        <f t="shared" ref="F5:F22" si="15">D5*25.4</f>
        <v>243.9030533</v>
      </c>
      <c r="G5" s="113">
        <f>(C5/Introduction!$I$20)*12</f>
        <v>2.946751968</v>
      </c>
      <c r="H5" s="113">
        <f>D5/Introduction!$I$20</f>
        <v>0.1000258585</v>
      </c>
      <c r="I5" s="114" t="s">
        <v>94</v>
      </c>
      <c r="J5" s="114" t="s">
        <v>94</v>
      </c>
      <c r="K5" s="115">
        <f>(E5/Introduction!$I$20)*10</f>
        <v>74.8475</v>
      </c>
      <c r="L5" s="115">
        <f>F5/Introduction!$I$20</f>
        <v>2.540656806</v>
      </c>
      <c r="M5" s="116" t="s">
        <v>94</v>
      </c>
      <c r="N5" s="117" t="s">
        <v>94</v>
      </c>
      <c r="O5" s="51"/>
      <c r="P5" s="51"/>
      <c r="Q5" s="54"/>
      <c r="R5" s="54"/>
      <c r="S5" s="54"/>
      <c r="T5" s="54"/>
      <c r="U5" s="54"/>
      <c r="V5" s="54"/>
      <c r="W5" s="54"/>
      <c r="X5" s="54"/>
      <c r="Y5" s="54"/>
      <c r="Z5" s="54"/>
      <c r="AA5" s="96"/>
      <c r="AB5" s="76" t="s">
        <v>27</v>
      </c>
      <c r="AC5" s="56">
        <f>IF('Ship Data Imperial'!E6&gt;0,'Ship Data Imperial'!E6,AS5)</f>
        <v>0</v>
      </c>
      <c r="AD5" s="77"/>
      <c r="AE5" s="77"/>
      <c r="AF5" s="78"/>
      <c r="AG5" s="79">
        <f t="shared" si="1"/>
        <v>0</v>
      </c>
      <c r="AH5" s="80">
        <f t="shared" si="2"/>
        <v>0</v>
      </c>
      <c r="AI5" s="81">
        <f t="shared" si="3"/>
        <v>0</v>
      </c>
      <c r="AJ5" s="82">
        <f t="shared" si="4"/>
        <v>0</v>
      </c>
      <c r="AK5" s="83">
        <f t="shared" si="5"/>
        <v>0</v>
      </c>
      <c r="AL5" s="84">
        <f>IF(AC5&gt;0,Masts!$C$14*0.5,0)</f>
        <v>0</v>
      </c>
      <c r="AM5" s="85"/>
      <c r="AN5" s="86">
        <f t="shared" si="6"/>
        <v>0</v>
      </c>
      <c r="AO5" s="87"/>
      <c r="AP5" s="88">
        <f t="shared" si="7"/>
        <v>0</v>
      </c>
      <c r="AQ5" s="54"/>
      <c r="AR5" s="96"/>
      <c r="AS5" s="56">
        <f>'Ship Data Metric'!E6*0.03280839895</f>
        <v>0</v>
      </c>
      <c r="AT5" s="69">
        <f t="shared" si="8"/>
        <v>0</v>
      </c>
      <c r="AU5" s="87">
        <f t="shared" si="9"/>
        <v>0</v>
      </c>
      <c r="AV5" s="88">
        <f t="shared" si="10"/>
        <v>0</v>
      </c>
      <c r="AW5" s="80">
        <f t="shared" si="11"/>
        <v>0</v>
      </c>
      <c r="AX5" s="81">
        <f t="shared" si="12"/>
        <v>0</v>
      </c>
      <c r="AY5" s="88">
        <f t="shared" si="13"/>
        <v>0</v>
      </c>
    </row>
    <row r="6">
      <c r="A6" s="51"/>
      <c r="B6" s="118" t="s">
        <v>95</v>
      </c>
      <c r="C6" s="119">
        <f>AO136</f>
        <v>16.85542126</v>
      </c>
      <c r="D6" s="120">
        <f>(C6/3)*0.625</f>
        <v>3.511546096</v>
      </c>
      <c r="E6" s="121">
        <f t="shared" si="14"/>
        <v>513.75324</v>
      </c>
      <c r="F6" s="122">
        <f t="shared" si="15"/>
        <v>89.19327083</v>
      </c>
      <c r="G6" s="123">
        <f>(C6/Introduction!$I$20)*12</f>
        <v>2.106927657</v>
      </c>
      <c r="H6" s="123">
        <f>D6/Introduction!$I$20</f>
        <v>0.03657860516</v>
      </c>
      <c r="I6" s="114" t="s">
        <v>94</v>
      </c>
      <c r="J6" s="114" t="s">
        <v>94</v>
      </c>
      <c r="K6" s="124">
        <f>(E6/Introduction!$I$20)*10</f>
        <v>53.5159625</v>
      </c>
      <c r="L6" s="124">
        <f>F6/Introduction!$I$20</f>
        <v>0.9290965712</v>
      </c>
      <c r="M6" s="116" t="s">
        <v>94</v>
      </c>
      <c r="N6" s="125" t="s">
        <v>94</v>
      </c>
      <c r="O6" s="51"/>
      <c r="P6" s="51"/>
      <c r="Q6" s="54"/>
      <c r="R6" s="54"/>
      <c r="S6" s="54"/>
      <c r="T6" s="54"/>
      <c r="U6" s="54"/>
      <c r="V6" s="54"/>
      <c r="W6" s="54"/>
      <c r="X6" s="54"/>
      <c r="Y6" s="54"/>
      <c r="Z6" s="54"/>
      <c r="AA6" s="96"/>
      <c r="AB6" s="76" t="s">
        <v>28</v>
      </c>
      <c r="AC6" s="56">
        <f>IF('Ship Data Imperial'!E7&gt;0,'Ship Data Imperial'!E7,AS6)</f>
        <v>0</v>
      </c>
      <c r="AD6" s="77"/>
      <c r="AE6" s="77"/>
      <c r="AF6" s="78"/>
      <c r="AG6" s="79">
        <f t="shared" si="1"/>
        <v>0</v>
      </c>
      <c r="AH6" s="80">
        <f t="shared" si="2"/>
        <v>0</v>
      </c>
      <c r="AI6" s="81">
        <f t="shared" si="3"/>
        <v>0</v>
      </c>
      <c r="AJ6" s="82">
        <f t="shared" si="4"/>
        <v>0</v>
      </c>
      <c r="AK6" s="83">
        <f t="shared" si="5"/>
        <v>0</v>
      </c>
      <c r="AL6" s="84">
        <f>IF(AC6&gt;0,Masts!$C$14*0.5,0)</f>
        <v>0</v>
      </c>
      <c r="AM6" s="85"/>
      <c r="AN6" s="86">
        <f t="shared" si="6"/>
        <v>0</v>
      </c>
      <c r="AO6" s="87"/>
      <c r="AP6" s="88">
        <f t="shared" si="7"/>
        <v>0</v>
      </c>
      <c r="AQ6" s="54"/>
      <c r="AR6" s="96"/>
      <c r="AS6" s="56">
        <f>'Ship Data Metric'!E7*0.03280839895</f>
        <v>0</v>
      </c>
      <c r="AT6" s="69">
        <f t="shared" si="8"/>
        <v>0</v>
      </c>
      <c r="AU6" s="87">
        <f t="shared" si="9"/>
        <v>0</v>
      </c>
      <c r="AV6" s="88">
        <f t="shared" si="10"/>
        <v>0</v>
      </c>
      <c r="AW6" s="80">
        <f t="shared" si="11"/>
        <v>0</v>
      </c>
      <c r="AX6" s="81">
        <f t="shared" si="12"/>
        <v>0</v>
      </c>
      <c r="AY6" s="88">
        <f t="shared" si="13"/>
        <v>0</v>
      </c>
    </row>
    <row r="7">
      <c r="A7" s="51"/>
      <c r="B7" s="118" t="s">
        <v>96</v>
      </c>
      <c r="C7" s="119">
        <f>C6*0.92</f>
        <v>15.50698756</v>
      </c>
      <c r="D7" s="120">
        <f>C7/6</f>
        <v>2.584497926</v>
      </c>
      <c r="E7" s="121">
        <f t="shared" si="14"/>
        <v>472.6529808</v>
      </c>
      <c r="F7" s="122">
        <f t="shared" si="15"/>
        <v>65.64624733</v>
      </c>
      <c r="G7" s="123">
        <f>(C7/Introduction!$I$20)*12</f>
        <v>1.938373445</v>
      </c>
      <c r="H7" s="123">
        <f>D7/Introduction!$I$20</f>
        <v>0.0269218534</v>
      </c>
      <c r="I7" s="114" t="s">
        <v>94</v>
      </c>
      <c r="J7" s="114" t="s">
        <v>94</v>
      </c>
      <c r="K7" s="124">
        <f>(E7/Introduction!$I$20)*10</f>
        <v>49.2346855</v>
      </c>
      <c r="L7" s="124">
        <f>F7/Introduction!$I$20</f>
        <v>0.6838150764</v>
      </c>
      <c r="M7" s="116" t="s">
        <v>94</v>
      </c>
      <c r="N7" s="125" t="s">
        <v>94</v>
      </c>
      <c r="O7" s="51"/>
      <c r="P7" s="51"/>
      <c r="Q7" s="54"/>
      <c r="R7" s="54"/>
      <c r="S7" s="54"/>
      <c r="T7" s="54"/>
      <c r="U7" s="54"/>
      <c r="V7" s="54"/>
      <c r="W7" s="54"/>
      <c r="X7" s="54"/>
      <c r="Y7" s="54"/>
      <c r="Z7" s="54"/>
      <c r="AA7" s="96"/>
      <c r="AB7" s="76" t="s">
        <v>29</v>
      </c>
      <c r="AC7" s="56">
        <f>IF('Ship Data Imperial'!E8&gt;0,'Ship Data Imperial'!E8,AS7)</f>
        <v>0</v>
      </c>
      <c r="AD7" s="77"/>
      <c r="AE7" s="77"/>
      <c r="AF7" s="78"/>
      <c r="AG7" s="79">
        <f t="shared" si="1"/>
        <v>0</v>
      </c>
      <c r="AH7" s="80">
        <f t="shared" si="2"/>
        <v>0</v>
      </c>
      <c r="AI7" s="81">
        <f t="shared" si="3"/>
        <v>0</v>
      </c>
      <c r="AJ7" s="82">
        <f t="shared" si="4"/>
        <v>0</v>
      </c>
      <c r="AK7" s="83">
        <f t="shared" si="5"/>
        <v>0</v>
      </c>
      <c r="AL7" s="84">
        <f>IF(AC7&gt;0,Masts!$C$14*0.5,0)</f>
        <v>0</v>
      </c>
      <c r="AM7" s="85"/>
      <c r="AN7" s="86">
        <f t="shared" si="6"/>
        <v>0</v>
      </c>
      <c r="AO7" s="87"/>
      <c r="AP7" s="88">
        <f t="shared" si="7"/>
        <v>0</v>
      </c>
      <c r="AQ7" s="54"/>
      <c r="AR7" s="96"/>
      <c r="AS7" s="56">
        <f>'Ship Data Metric'!E8*0.03280839895</f>
        <v>0</v>
      </c>
      <c r="AT7" s="69">
        <f t="shared" si="8"/>
        <v>0</v>
      </c>
      <c r="AU7" s="87">
        <f t="shared" si="9"/>
        <v>0</v>
      </c>
      <c r="AV7" s="88">
        <f t="shared" si="10"/>
        <v>0</v>
      </c>
      <c r="AW7" s="80">
        <f t="shared" si="11"/>
        <v>0</v>
      </c>
      <c r="AX7" s="81">
        <f t="shared" si="12"/>
        <v>0</v>
      </c>
      <c r="AY7" s="88">
        <f t="shared" si="13"/>
        <v>0</v>
      </c>
    </row>
    <row r="8" ht="15.75" customHeight="1">
      <c r="A8" s="51"/>
      <c r="B8" s="126" t="s">
        <v>97</v>
      </c>
      <c r="C8" s="127">
        <f>AP86</f>
        <v>0</v>
      </c>
      <c r="D8" s="128">
        <f>AP222</f>
        <v>0</v>
      </c>
      <c r="E8" s="129">
        <f t="shared" si="14"/>
        <v>0</v>
      </c>
      <c r="F8" s="130">
        <f t="shared" si="15"/>
        <v>0</v>
      </c>
      <c r="G8" s="131">
        <f>(C8/Introduction!$I$20)*12</f>
        <v>0</v>
      </c>
      <c r="H8" s="131">
        <f>D8/Introduction!$I$20</f>
        <v>0</v>
      </c>
      <c r="I8" s="132" t="s">
        <v>94</v>
      </c>
      <c r="J8" s="132" t="s">
        <v>94</v>
      </c>
      <c r="K8" s="133">
        <f>(E8/Introduction!$I$20)*10</f>
        <v>0</v>
      </c>
      <c r="L8" s="133">
        <f>F8/Introduction!$I$20</f>
        <v>0</v>
      </c>
      <c r="M8" s="134" t="s">
        <v>94</v>
      </c>
      <c r="N8" s="135" t="s">
        <v>94</v>
      </c>
      <c r="O8" s="51"/>
      <c r="P8" s="51"/>
      <c r="Q8" s="54"/>
      <c r="R8" s="54"/>
      <c r="S8" s="54"/>
      <c r="T8" s="54"/>
      <c r="U8" s="54"/>
      <c r="V8" s="54"/>
      <c r="W8" s="54"/>
      <c r="X8" s="54"/>
      <c r="Y8" s="54"/>
      <c r="Z8" s="54"/>
      <c r="AA8" s="75" t="s">
        <v>30</v>
      </c>
      <c r="AB8" s="76" t="s">
        <v>24</v>
      </c>
      <c r="AC8" s="56">
        <f>IF('Ship Data Imperial'!E9&gt;0,'Ship Data Imperial'!E9,AS8)</f>
        <v>0</v>
      </c>
      <c r="AD8" s="77"/>
      <c r="AE8" s="77"/>
      <c r="AF8" s="78"/>
      <c r="AG8" s="79">
        <f t="shared" si="1"/>
        <v>0</v>
      </c>
      <c r="AH8" s="80">
        <f t="shared" si="2"/>
        <v>0</v>
      </c>
      <c r="AI8" s="81">
        <f t="shared" si="3"/>
        <v>0</v>
      </c>
      <c r="AJ8" s="82">
        <f t="shared" si="4"/>
        <v>0</v>
      </c>
      <c r="AK8" s="83">
        <f t="shared" si="5"/>
        <v>0</v>
      </c>
      <c r="AL8" s="84">
        <f>IF(AC8&gt;0,Masts!$C$14*0.5,0)</f>
        <v>0</v>
      </c>
      <c r="AM8" s="85"/>
      <c r="AN8" s="86">
        <f t="shared" si="6"/>
        <v>0</v>
      </c>
      <c r="AO8" s="87"/>
      <c r="AP8" s="88">
        <f t="shared" si="7"/>
        <v>0</v>
      </c>
      <c r="AQ8" s="68"/>
      <c r="AR8" s="75" t="s">
        <v>30</v>
      </c>
      <c r="AS8" s="56">
        <f>'Ship Data Metric'!E9*0.03280839895</f>
        <v>0</v>
      </c>
      <c r="AT8" s="69">
        <f t="shared" si="8"/>
        <v>0</v>
      </c>
      <c r="AU8" s="87">
        <f t="shared" si="9"/>
        <v>0</v>
      </c>
      <c r="AV8" s="88">
        <f t="shared" si="10"/>
        <v>0</v>
      </c>
      <c r="AW8" s="80">
        <f t="shared" si="11"/>
        <v>0</v>
      </c>
      <c r="AX8" s="81">
        <f t="shared" si="12"/>
        <v>0</v>
      </c>
      <c r="AY8" s="88">
        <f t="shared" si="13"/>
        <v>0</v>
      </c>
    </row>
    <row r="9" ht="15.75" customHeight="1">
      <c r="A9" s="51"/>
      <c r="B9" s="108" t="s">
        <v>67</v>
      </c>
      <c r="C9" s="109">
        <f>AI136</f>
        <v>35.36102362</v>
      </c>
      <c r="D9" s="110">
        <f>AJ272</f>
        <v>11.78700787</v>
      </c>
      <c r="E9" s="111">
        <f t="shared" si="14"/>
        <v>1077.804</v>
      </c>
      <c r="F9" s="112">
        <f t="shared" si="15"/>
        <v>299.39</v>
      </c>
      <c r="G9" s="113">
        <f>(C9/Introduction!$I$20)*12</f>
        <v>4.420127953</v>
      </c>
      <c r="H9" s="113">
        <f>D9/Introduction!$I$20</f>
        <v>0.122781332</v>
      </c>
      <c r="I9" s="136">
        <f>AU136/Introduction!$I$20</f>
        <v>0.6139066601</v>
      </c>
      <c r="J9" s="137">
        <f>I9*0.666</f>
        <v>0.4088618356</v>
      </c>
      <c r="K9" s="115">
        <f>(E9/Introduction!$I$20)*10</f>
        <v>112.27125</v>
      </c>
      <c r="L9" s="115">
        <f>F9/Introduction!$I$20</f>
        <v>3.118645833</v>
      </c>
      <c r="M9" s="138">
        <f t="shared" ref="M9:N9" si="16">I9*25.4</f>
        <v>15.59322917</v>
      </c>
      <c r="N9" s="139">
        <f t="shared" si="16"/>
        <v>10.38509062</v>
      </c>
      <c r="O9" s="51"/>
      <c r="P9" s="51"/>
      <c r="Q9" s="54"/>
      <c r="R9" s="54"/>
      <c r="S9" s="54"/>
      <c r="T9" s="54"/>
      <c r="U9" s="54"/>
      <c r="V9" s="54"/>
      <c r="W9" s="54"/>
      <c r="X9" s="54"/>
      <c r="Y9" s="54"/>
      <c r="Z9" s="54"/>
      <c r="AA9" s="96"/>
      <c r="AB9" s="76" t="s">
        <v>25</v>
      </c>
      <c r="AC9" s="56">
        <f>IF('Ship Data Imperial'!E10&gt;0,'Ship Data Imperial'!E10,AS9)</f>
        <v>0</v>
      </c>
      <c r="AD9" s="77"/>
      <c r="AE9" s="77"/>
      <c r="AF9" s="78"/>
      <c r="AG9" s="79">
        <f t="shared" si="1"/>
        <v>0</v>
      </c>
      <c r="AH9" s="80">
        <f t="shared" si="2"/>
        <v>0</v>
      </c>
      <c r="AI9" s="81">
        <f t="shared" si="3"/>
        <v>0</v>
      </c>
      <c r="AJ9" s="82">
        <f t="shared" si="4"/>
        <v>0</v>
      </c>
      <c r="AK9" s="83">
        <f t="shared" si="5"/>
        <v>0</v>
      </c>
      <c r="AL9" s="84">
        <f>IF(AC9&gt;0,Masts!$C$14*0.5,0)</f>
        <v>0</v>
      </c>
      <c r="AM9" s="85"/>
      <c r="AN9" s="86">
        <f t="shared" si="6"/>
        <v>0</v>
      </c>
      <c r="AO9" s="87"/>
      <c r="AP9" s="88">
        <f t="shared" si="7"/>
        <v>0</v>
      </c>
      <c r="AQ9" s="54"/>
      <c r="AR9" s="96"/>
      <c r="AS9" s="56">
        <f>'Ship Data Metric'!E10*0.03280839895</f>
        <v>0</v>
      </c>
      <c r="AT9" s="69">
        <f t="shared" si="8"/>
        <v>0</v>
      </c>
      <c r="AU9" s="87">
        <f t="shared" si="9"/>
        <v>0</v>
      </c>
      <c r="AV9" s="88">
        <f t="shared" si="10"/>
        <v>0</v>
      </c>
      <c r="AW9" s="80">
        <f t="shared" si="11"/>
        <v>0</v>
      </c>
      <c r="AX9" s="81">
        <f t="shared" si="12"/>
        <v>0</v>
      </c>
      <c r="AY9" s="88">
        <f t="shared" si="13"/>
        <v>0</v>
      </c>
    </row>
    <row r="10">
      <c r="A10" s="51"/>
      <c r="B10" s="118" t="s">
        <v>98</v>
      </c>
      <c r="C10" s="119">
        <f>C9*0.6</f>
        <v>21.21661417</v>
      </c>
      <c r="D10" s="120">
        <f>AK272</f>
        <v>7.072204724</v>
      </c>
      <c r="E10" s="121">
        <f t="shared" si="14"/>
        <v>646.6824</v>
      </c>
      <c r="F10" s="122">
        <f t="shared" si="15"/>
        <v>179.634</v>
      </c>
      <c r="G10" s="123">
        <f>(C10/Introduction!$I$20)*12</f>
        <v>2.652076772</v>
      </c>
      <c r="H10" s="123">
        <f>D10/Introduction!$I$20</f>
        <v>0.07366879921</v>
      </c>
      <c r="I10" s="140">
        <f>((C10/Introduction!$I$20)*12)/10</f>
        <v>0.2652076772</v>
      </c>
      <c r="J10" s="114">
        <f>AX136/Introduction!$I$20</f>
        <v>0.7072204724</v>
      </c>
      <c r="K10" s="124">
        <f>(E10/Introduction!$I$20)*10</f>
        <v>67.36275</v>
      </c>
      <c r="L10" s="124">
        <f>F10/Introduction!$I$20</f>
        <v>1.8711875</v>
      </c>
      <c r="M10" s="116">
        <f t="shared" ref="M10:N10" si="17">I10*25.4</f>
        <v>6.736275</v>
      </c>
      <c r="N10" s="125">
        <f t="shared" si="17"/>
        <v>17.9634</v>
      </c>
      <c r="O10" s="51"/>
      <c r="P10" s="51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96"/>
      <c r="AB10" s="76" t="s">
        <v>26</v>
      </c>
      <c r="AC10" s="56">
        <f>IF('Ship Data Imperial'!E11&gt;0,'Ship Data Imperial'!E11,AS10)</f>
        <v>0</v>
      </c>
      <c r="AD10" s="77"/>
      <c r="AE10" s="77"/>
      <c r="AF10" s="78"/>
      <c r="AG10" s="79">
        <f t="shared" si="1"/>
        <v>0</v>
      </c>
      <c r="AH10" s="80">
        <f t="shared" si="2"/>
        <v>0</v>
      </c>
      <c r="AI10" s="81">
        <f t="shared" si="3"/>
        <v>0</v>
      </c>
      <c r="AJ10" s="82">
        <f t="shared" si="4"/>
        <v>0</v>
      </c>
      <c r="AK10" s="83">
        <f t="shared" si="5"/>
        <v>0</v>
      </c>
      <c r="AL10" s="84">
        <f>IF(AC10&gt;0,Masts!$C$14*0.5,0)</f>
        <v>0</v>
      </c>
      <c r="AM10" s="85"/>
      <c r="AN10" s="86">
        <f t="shared" si="6"/>
        <v>0</v>
      </c>
      <c r="AO10" s="87"/>
      <c r="AP10" s="88">
        <f t="shared" si="7"/>
        <v>0</v>
      </c>
      <c r="AQ10" s="54"/>
      <c r="AR10" s="96"/>
      <c r="AS10" s="56">
        <f>'Ship Data Metric'!E11*0.03280839895</f>
        <v>0</v>
      </c>
      <c r="AT10" s="69">
        <f t="shared" si="8"/>
        <v>0</v>
      </c>
      <c r="AU10" s="87">
        <f t="shared" si="9"/>
        <v>0</v>
      </c>
      <c r="AV10" s="88">
        <f t="shared" si="10"/>
        <v>0</v>
      </c>
      <c r="AW10" s="80">
        <f t="shared" si="11"/>
        <v>0</v>
      </c>
      <c r="AX10" s="81">
        <f t="shared" si="12"/>
        <v>0</v>
      </c>
      <c r="AY10" s="88">
        <f t="shared" si="13"/>
        <v>0</v>
      </c>
    </row>
    <row r="11">
      <c r="A11" s="51"/>
      <c r="B11" s="118" t="s">
        <v>99</v>
      </c>
      <c r="C11" s="119">
        <f>AJ136</f>
        <v>17.68051181</v>
      </c>
      <c r="D11" s="120">
        <f>AL272</f>
        <v>5.893503937</v>
      </c>
      <c r="E11" s="121">
        <f t="shared" si="14"/>
        <v>538.902</v>
      </c>
      <c r="F11" s="122">
        <f t="shared" si="15"/>
        <v>149.695</v>
      </c>
      <c r="G11" s="123">
        <f>(C11/Introduction!$I$20)*12</f>
        <v>2.210063976</v>
      </c>
      <c r="H11" s="123">
        <f>D11/Introduction!$I$20</f>
        <v>0.06139066601</v>
      </c>
      <c r="I11" s="140">
        <f>((C11/Introduction!$I$20)*12)/10</f>
        <v>0.2210063976</v>
      </c>
      <c r="J11" s="141">
        <f>J10/2</f>
        <v>0.3536102362</v>
      </c>
      <c r="K11" s="124">
        <f>(E11/Introduction!$I$20)*10</f>
        <v>56.135625</v>
      </c>
      <c r="L11" s="124">
        <f>F11/Introduction!$I$20</f>
        <v>1.559322917</v>
      </c>
      <c r="M11" s="116">
        <f t="shared" ref="M11:N11" si="18">I11*25.4</f>
        <v>5.6135625</v>
      </c>
      <c r="N11" s="125">
        <f t="shared" si="18"/>
        <v>8.9817</v>
      </c>
      <c r="O11" s="51"/>
      <c r="P11" s="51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96"/>
      <c r="AB11" s="76" t="s">
        <v>27</v>
      </c>
      <c r="AC11" s="56">
        <f>IF('Ship Data Imperial'!E12&gt;0,'Ship Data Imperial'!E12,AS11)</f>
        <v>0</v>
      </c>
      <c r="AD11" s="77"/>
      <c r="AE11" s="77"/>
      <c r="AF11" s="78"/>
      <c r="AG11" s="79">
        <f t="shared" si="1"/>
        <v>0</v>
      </c>
      <c r="AH11" s="80">
        <f t="shared" si="2"/>
        <v>0</v>
      </c>
      <c r="AI11" s="81">
        <f t="shared" si="3"/>
        <v>0</v>
      </c>
      <c r="AJ11" s="82">
        <f t="shared" si="4"/>
        <v>0</v>
      </c>
      <c r="AK11" s="83">
        <f t="shared" si="5"/>
        <v>0</v>
      </c>
      <c r="AL11" s="84">
        <f>IF(AC11&gt;0,Masts!$C$14*0.5,0)</f>
        <v>0</v>
      </c>
      <c r="AM11" s="85"/>
      <c r="AN11" s="86">
        <f t="shared" si="6"/>
        <v>0</v>
      </c>
      <c r="AO11" s="87"/>
      <c r="AP11" s="88">
        <f t="shared" si="7"/>
        <v>0</v>
      </c>
      <c r="AQ11" s="54"/>
      <c r="AR11" s="96"/>
      <c r="AS11" s="56">
        <f>'Ship Data Metric'!E12*0.03280839895</f>
        <v>0</v>
      </c>
      <c r="AT11" s="69">
        <f t="shared" si="8"/>
        <v>0</v>
      </c>
      <c r="AU11" s="87">
        <f t="shared" si="9"/>
        <v>0</v>
      </c>
      <c r="AV11" s="88">
        <f t="shared" si="10"/>
        <v>0</v>
      </c>
      <c r="AW11" s="80">
        <f t="shared" si="11"/>
        <v>0</v>
      </c>
      <c r="AX11" s="81">
        <f t="shared" si="12"/>
        <v>0</v>
      </c>
      <c r="AY11" s="88">
        <f t="shared" si="13"/>
        <v>0</v>
      </c>
    </row>
    <row r="12" ht="15.75" customHeight="1">
      <c r="A12" s="51"/>
      <c r="B12" s="126" t="s">
        <v>100</v>
      </c>
      <c r="C12" s="127">
        <f>C11*0.7</f>
        <v>12.37635827</v>
      </c>
      <c r="D12" s="128">
        <f>D11*0.666</f>
        <v>3.925073622</v>
      </c>
      <c r="E12" s="129">
        <f t="shared" si="14"/>
        <v>377.2314</v>
      </c>
      <c r="F12" s="130">
        <f t="shared" si="15"/>
        <v>99.69687</v>
      </c>
      <c r="G12" s="131">
        <f>(C12/Introduction!$I$20)*12</f>
        <v>1.547044783</v>
      </c>
      <c r="H12" s="131">
        <f>D12/Introduction!$I$20</f>
        <v>0.04088618356</v>
      </c>
      <c r="I12" s="132" t="s">
        <v>94</v>
      </c>
      <c r="J12" s="132" t="s">
        <v>94</v>
      </c>
      <c r="K12" s="133">
        <f>(E12/Introduction!$I$20)*10</f>
        <v>39.2949375</v>
      </c>
      <c r="L12" s="133">
        <f>F12/Introduction!$I$20</f>
        <v>1.038509062</v>
      </c>
      <c r="M12" s="134" t="s">
        <v>94</v>
      </c>
      <c r="N12" s="135" t="s">
        <v>94</v>
      </c>
      <c r="O12" s="51"/>
      <c r="P12" s="51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96"/>
      <c r="AB12" s="76" t="s">
        <v>28</v>
      </c>
      <c r="AC12" s="56">
        <f>IF('Ship Data Imperial'!E13&gt;0,'Ship Data Imperial'!E13,AS12)</f>
        <v>0</v>
      </c>
      <c r="AD12" s="77"/>
      <c r="AE12" s="77"/>
      <c r="AF12" s="78"/>
      <c r="AG12" s="79">
        <f t="shared" si="1"/>
        <v>0</v>
      </c>
      <c r="AH12" s="80">
        <f t="shared" si="2"/>
        <v>0</v>
      </c>
      <c r="AI12" s="81">
        <f t="shared" si="3"/>
        <v>0</v>
      </c>
      <c r="AJ12" s="82">
        <f t="shared" si="4"/>
        <v>0</v>
      </c>
      <c r="AK12" s="83">
        <f t="shared" si="5"/>
        <v>0</v>
      </c>
      <c r="AL12" s="84">
        <f>IF(AC12&gt;0,Masts!$C$14*0.5,0)</f>
        <v>0</v>
      </c>
      <c r="AM12" s="85"/>
      <c r="AN12" s="86">
        <f t="shared" si="6"/>
        <v>0</v>
      </c>
      <c r="AO12" s="87"/>
      <c r="AP12" s="88">
        <f t="shared" si="7"/>
        <v>0</v>
      </c>
      <c r="AQ12" s="54"/>
      <c r="AR12" s="96"/>
      <c r="AS12" s="56">
        <f>'Ship Data Metric'!E13*0.03280839895</f>
        <v>0</v>
      </c>
      <c r="AT12" s="69">
        <f t="shared" si="8"/>
        <v>0</v>
      </c>
      <c r="AU12" s="87">
        <f t="shared" si="9"/>
        <v>0</v>
      </c>
      <c r="AV12" s="88">
        <f t="shared" si="10"/>
        <v>0</v>
      </c>
      <c r="AW12" s="80">
        <f t="shared" si="11"/>
        <v>0</v>
      </c>
      <c r="AX12" s="81">
        <f t="shared" si="12"/>
        <v>0</v>
      </c>
      <c r="AY12" s="88">
        <f t="shared" si="13"/>
        <v>0</v>
      </c>
    </row>
    <row r="13" ht="15.75" customHeight="1">
      <c r="A13" s="51"/>
      <c r="B13" s="108" t="s">
        <v>65</v>
      </c>
      <c r="C13" s="109">
        <f>AG136</f>
        <v>39.29002625</v>
      </c>
      <c r="D13" s="110">
        <f>AG272</f>
        <v>13.09667542</v>
      </c>
      <c r="E13" s="111">
        <f t="shared" si="14"/>
        <v>1197.56</v>
      </c>
      <c r="F13" s="112">
        <f t="shared" si="15"/>
        <v>332.6555556</v>
      </c>
      <c r="G13" s="113">
        <f>(C13/Introduction!$I$20)*12</f>
        <v>4.911253281</v>
      </c>
      <c r="H13" s="113">
        <f>D13/Introduction!$I$20</f>
        <v>0.1364237022</v>
      </c>
      <c r="I13" s="136">
        <f>AT136/Introduction!$I$20</f>
        <v>0.6821185112</v>
      </c>
      <c r="J13" s="137">
        <f>I13*0.666</f>
        <v>0.4542909285</v>
      </c>
      <c r="K13" s="115">
        <f>(E13/Introduction!$I$20)*10</f>
        <v>124.7458333</v>
      </c>
      <c r="L13" s="115">
        <f>F13/Introduction!$I$20</f>
        <v>3.465162037</v>
      </c>
      <c r="M13" s="138">
        <f t="shared" ref="M13:N13" si="19">I13*25.4</f>
        <v>17.32581019</v>
      </c>
      <c r="N13" s="142">
        <f t="shared" si="19"/>
        <v>11.53898958</v>
      </c>
      <c r="O13" s="51"/>
      <c r="P13" s="51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96"/>
      <c r="AB13" s="76" t="s">
        <v>29</v>
      </c>
      <c r="AC13" s="56">
        <f>IF('Ship Data Imperial'!E14&gt;0,'Ship Data Imperial'!E14,AS13)</f>
        <v>0</v>
      </c>
      <c r="AD13" s="77"/>
      <c r="AE13" s="77"/>
      <c r="AF13" s="78"/>
      <c r="AG13" s="79">
        <f t="shared" si="1"/>
        <v>0</v>
      </c>
      <c r="AH13" s="80">
        <f t="shared" si="2"/>
        <v>0</v>
      </c>
      <c r="AI13" s="81">
        <f t="shared" si="3"/>
        <v>0</v>
      </c>
      <c r="AJ13" s="82">
        <f t="shared" si="4"/>
        <v>0</v>
      </c>
      <c r="AK13" s="83">
        <f t="shared" si="5"/>
        <v>0</v>
      </c>
      <c r="AL13" s="84">
        <f>IF(AC13&gt;0,Masts!$C$14*0.5,0)</f>
        <v>0</v>
      </c>
      <c r="AM13" s="85"/>
      <c r="AN13" s="86">
        <f t="shared" si="6"/>
        <v>0</v>
      </c>
      <c r="AO13" s="87"/>
      <c r="AP13" s="88">
        <f t="shared" si="7"/>
        <v>0</v>
      </c>
      <c r="AQ13" s="54"/>
      <c r="AR13" s="96"/>
      <c r="AS13" s="56">
        <f>'Ship Data Metric'!E14*0.03280839895</f>
        <v>0</v>
      </c>
      <c r="AT13" s="69">
        <f t="shared" si="8"/>
        <v>0</v>
      </c>
      <c r="AU13" s="87">
        <f t="shared" si="9"/>
        <v>0</v>
      </c>
      <c r="AV13" s="88">
        <f t="shared" si="10"/>
        <v>0</v>
      </c>
      <c r="AW13" s="80">
        <f t="shared" si="11"/>
        <v>0</v>
      </c>
      <c r="AX13" s="81">
        <f t="shared" si="12"/>
        <v>0</v>
      </c>
      <c r="AY13" s="88">
        <f t="shared" si="13"/>
        <v>0</v>
      </c>
    </row>
    <row r="14">
      <c r="A14" s="51"/>
      <c r="B14" s="118" t="s">
        <v>101</v>
      </c>
      <c r="C14" s="119">
        <f>C13*0.6</f>
        <v>23.57401575</v>
      </c>
      <c r="D14" s="120">
        <f>AH272</f>
        <v>7.858005249</v>
      </c>
      <c r="E14" s="121">
        <f t="shared" si="14"/>
        <v>718.536</v>
      </c>
      <c r="F14" s="122">
        <f t="shared" si="15"/>
        <v>199.5933333</v>
      </c>
      <c r="G14" s="123">
        <f>(C14/Introduction!$I$20)*12</f>
        <v>2.946751968</v>
      </c>
      <c r="H14" s="123">
        <f>D14/Introduction!$I$20</f>
        <v>0.08185422135</v>
      </c>
      <c r="I14" s="140">
        <f>((C14/Introduction!$I$20)*12)/10</f>
        <v>0.2946751968</v>
      </c>
      <c r="J14" s="114">
        <f>AW136/Introduction!$I$20</f>
        <v>0.7858005249</v>
      </c>
      <c r="K14" s="124">
        <f>(E14/Introduction!$I$20)*10</f>
        <v>74.8475</v>
      </c>
      <c r="L14" s="124">
        <f>F14/Introduction!$I$20</f>
        <v>2.079097222</v>
      </c>
      <c r="M14" s="116">
        <f t="shared" ref="M14:N14" si="20">I14*25.4</f>
        <v>7.48475</v>
      </c>
      <c r="N14" s="125">
        <f t="shared" si="20"/>
        <v>19.95933333</v>
      </c>
      <c r="O14" s="51"/>
      <c r="P14" s="51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75" t="s">
        <v>31</v>
      </c>
      <c r="AB14" s="76" t="s">
        <v>24</v>
      </c>
      <c r="AC14" s="56">
        <f>IF('Ship Data Imperial'!E15&gt;0,'Ship Data Imperial'!E15,AS14)</f>
        <v>0</v>
      </c>
      <c r="AD14" s="77"/>
      <c r="AE14" s="77"/>
      <c r="AF14" s="78"/>
      <c r="AG14" s="79">
        <f t="shared" si="1"/>
        <v>0</v>
      </c>
      <c r="AH14" s="80">
        <f t="shared" si="2"/>
        <v>0</v>
      </c>
      <c r="AI14" s="81">
        <f t="shared" ref="AI14:AI19" si="22">IF(AC14&gt;0,$AG$136*0.87,0)</f>
        <v>0</v>
      </c>
      <c r="AJ14" s="82">
        <f t="shared" si="4"/>
        <v>0</v>
      </c>
      <c r="AK14" s="83">
        <f t="shared" ref="AK14:AK19" si="23">IF(AC14&gt;0,$AG$136*0.74,0)</f>
        <v>0</v>
      </c>
      <c r="AL14" s="84">
        <f>IF(AC14&gt;0,Masts!$C$14*0.5,0)</f>
        <v>0</v>
      </c>
      <c r="AM14" s="85"/>
      <c r="AN14" s="86">
        <f t="shared" ref="AN14:AN19" si="24">IF(AC14&gt;0,$AG$136*0.83,0)</f>
        <v>0</v>
      </c>
      <c r="AO14" s="87"/>
      <c r="AP14" s="88">
        <f t="shared" si="7"/>
        <v>0</v>
      </c>
      <c r="AQ14" s="68"/>
      <c r="AR14" s="75" t="s">
        <v>31</v>
      </c>
      <c r="AS14" s="56">
        <f>'Ship Data Metric'!E15*0.03280839895</f>
        <v>0</v>
      </c>
      <c r="AT14" s="69">
        <f t="shared" si="8"/>
        <v>0</v>
      </c>
      <c r="AU14" s="87">
        <f t="shared" si="9"/>
        <v>0</v>
      </c>
      <c r="AV14" s="88">
        <f t="shared" si="10"/>
        <v>0</v>
      </c>
      <c r="AW14" s="80">
        <f t="shared" si="11"/>
        <v>0</v>
      </c>
      <c r="AX14" s="81">
        <f t="shared" si="12"/>
        <v>0</v>
      </c>
      <c r="AY14" s="88">
        <f t="shared" si="13"/>
        <v>0</v>
      </c>
    </row>
    <row r="15">
      <c r="A15" s="51"/>
      <c r="B15" s="118" t="s">
        <v>102</v>
      </c>
      <c r="C15" s="119">
        <f>AH136</f>
        <v>19.64501312</v>
      </c>
      <c r="D15" s="120">
        <f>AI272</f>
        <v>6.548337708</v>
      </c>
      <c r="E15" s="121">
        <f t="shared" si="14"/>
        <v>598.78</v>
      </c>
      <c r="F15" s="122">
        <f t="shared" si="15"/>
        <v>166.3277778</v>
      </c>
      <c r="G15" s="123">
        <f>(C15/Introduction!$I$20)*12</f>
        <v>2.45562664</v>
      </c>
      <c r="H15" s="123">
        <f>D15/Introduction!$I$20</f>
        <v>0.06821185112</v>
      </c>
      <c r="I15" s="140">
        <f>((C15/Introduction!$I$20)*12)/10</f>
        <v>0.245562664</v>
      </c>
      <c r="J15" s="141">
        <f>J14/2</f>
        <v>0.3929002625</v>
      </c>
      <c r="K15" s="124">
        <f>(E15/Introduction!$I$20)*10</f>
        <v>62.37291667</v>
      </c>
      <c r="L15" s="124">
        <f>F15/Introduction!$I$20</f>
        <v>1.732581019</v>
      </c>
      <c r="M15" s="116">
        <f t="shared" ref="M15:N15" si="21">I15*25.4</f>
        <v>6.237291667</v>
      </c>
      <c r="N15" s="125">
        <f t="shared" si="21"/>
        <v>9.979666667</v>
      </c>
      <c r="O15" s="51"/>
      <c r="P15" s="51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96"/>
      <c r="AB15" s="76" t="s">
        <v>25</v>
      </c>
      <c r="AC15" s="56">
        <f>IF('Ship Data Imperial'!E16&gt;0,'Ship Data Imperial'!E16,AS15)</f>
        <v>0</v>
      </c>
      <c r="AD15" s="77"/>
      <c r="AE15" s="77"/>
      <c r="AF15" s="78"/>
      <c r="AG15" s="79">
        <f t="shared" si="1"/>
        <v>0</v>
      </c>
      <c r="AH15" s="80">
        <f t="shared" si="2"/>
        <v>0</v>
      </c>
      <c r="AI15" s="81">
        <f t="shared" si="22"/>
        <v>0</v>
      </c>
      <c r="AJ15" s="82">
        <f t="shared" si="4"/>
        <v>0</v>
      </c>
      <c r="AK15" s="83">
        <f t="shared" si="23"/>
        <v>0</v>
      </c>
      <c r="AL15" s="84">
        <f>IF(AC15&gt;0,Masts!$C$14*0.5,0)</f>
        <v>0</v>
      </c>
      <c r="AM15" s="85"/>
      <c r="AN15" s="86">
        <f t="shared" si="24"/>
        <v>0</v>
      </c>
      <c r="AO15" s="87"/>
      <c r="AP15" s="88">
        <f t="shared" si="7"/>
        <v>0</v>
      </c>
      <c r="AQ15" s="54"/>
      <c r="AR15" s="96"/>
      <c r="AS15" s="56">
        <f>'Ship Data Metric'!E16*0.03280839895</f>
        <v>0</v>
      </c>
      <c r="AT15" s="69">
        <f t="shared" si="8"/>
        <v>0</v>
      </c>
      <c r="AU15" s="87">
        <f t="shared" si="9"/>
        <v>0</v>
      </c>
      <c r="AV15" s="88">
        <f t="shared" si="10"/>
        <v>0</v>
      </c>
      <c r="AW15" s="80">
        <f t="shared" si="11"/>
        <v>0</v>
      </c>
      <c r="AX15" s="81">
        <f t="shared" si="12"/>
        <v>0</v>
      </c>
      <c r="AY15" s="88">
        <f t="shared" si="13"/>
        <v>0</v>
      </c>
    </row>
    <row r="16">
      <c r="A16" s="51"/>
      <c r="B16" s="126" t="s">
        <v>103</v>
      </c>
      <c r="C16" s="127">
        <f>C15*0.7</f>
        <v>13.75150919</v>
      </c>
      <c r="D16" s="128">
        <f>D15*0.666</f>
        <v>4.361192913</v>
      </c>
      <c r="E16" s="129">
        <f t="shared" si="14"/>
        <v>419.146</v>
      </c>
      <c r="F16" s="130">
        <f t="shared" si="15"/>
        <v>110.7743</v>
      </c>
      <c r="G16" s="131">
        <f>(C16/Introduction!$I$20)*12</f>
        <v>1.718938648</v>
      </c>
      <c r="H16" s="131">
        <f>D16/Introduction!$I$20</f>
        <v>0.04542909285</v>
      </c>
      <c r="I16" s="132" t="s">
        <v>94</v>
      </c>
      <c r="J16" s="132" t="s">
        <v>94</v>
      </c>
      <c r="K16" s="133">
        <f>(E16/Introduction!$I$20)*10</f>
        <v>43.66104167</v>
      </c>
      <c r="L16" s="133">
        <f>F16/Introduction!$I$20</f>
        <v>1.153898958</v>
      </c>
      <c r="M16" s="134" t="s">
        <v>94</v>
      </c>
      <c r="N16" s="135" t="s">
        <v>94</v>
      </c>
      <c r="O16" s="51"/>
      <c r="P16" s="51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96"/>
      <c r="AB16" s="76" t="s">
        <v>26</v>
      </c>
      <c r="AC16" s="56">
        <f>IF('Ship Data Imperial'!E17&gt;0,'Ship Data Imperial'!E17,AS16)</f>
        <v>0</v>
      </c>
      <c r="AD16" s="77"/>
      <c r="AE16" s="77"/>
      <c r="AF16" s="78"/>
      <c r="AG16" s="79">
        <f t="shared" si="1"/>
        <v>0</v>
      </c>
      <c r="AH16" s="80">
        <f t="shared" si="2"/>
        <v>0</v>
      </c>
      <c r="AI16" s="81">
        <f t="shared" si="22"/>
        <v>0</v>
      </c>
      <c r="AJ16" s="82">
        <f t="shared" si="4"/>
        <v>0</v>
      </c>
      <c r="AK16" s="83">
        <f t="shared" si="23"/>
        <v>0</v>
      </c>
      <c r="AL16" s="84">
        <f>IF(AC16&gt;0,Masts!$C$14*0.5,0)</f>
        <v>0</v>
      </c>
      <c r="AM16" s="85"/>
      <c r="AN16" s="86">
        <f t="shared" si="24"/>
        <v>0</v>
      </c>
      <c r="AO16" s="87"/>
      <c r="AP16" s="88">
        <f t="shared" si="7"/>
        <v>0</v>
      </c>
      <c r="AQ16" s="54"/>
      <c r="AR16" s="96"/>
      <c r="AS16" s="56">
        <f>'Ship Data Metric'!E17*0.03280839895</f>
        <v>0</v>
      </c>
      <c r="AT16" s="69">
        <f t="shared" si="8"/>
        <v>0</v>
      </c>
      <c r="AU16" s="87">
        <f t="shared" si="9"/>
        <v>0</v>
      </c>
      <c r="AV16" s="88">
        <f t="shared" si="10"/>
        <v>0</v>
      </c>
      <c r="AW16" s="80">
        <f t="shared" si="11"/>
        <v>0</v>
      </c>
      <c r="AX16" s="81">
        <f t="shared" si="12"/>
        <v>0</v>
      </c>
      <c r="AY16" s="88">
        <f t="shared" si="13"/>
        <v>0</v>
      </c>
    </row>
    <row r="17">
      <c r="A17" s="51"/>
      <c r="B17" s="108" t="s">
        <v>104</v>
      </c>
      <c r="C17" s="109">
        <f>AK136</f>
        <v>33.39652231</v>
      </c>
      <c r="D17" s="110">
        <f>AM272</f>
        <v>7.414027953</v>
      </c>
      <c r="E17" s="111">
        <f t="shared" si="14"/>
        <v>1017.926</v>
      </c>
      <c r="F17" s="112">
        <f t="shared" si="15"/>
        <v>188.31631</v>
      </c>
      <c r="G17" s="113">
        <f>(C17/Introduction!$I$20)*12</f>
        <v>4.174565289</v>
      </c>
      <c r="H17" s="113">
        <f>D17/Introduction!$I$20</f>
        <v>0.07722945784</v>
      </c>
      <c r="I17" s="136">
        <f>AV136/Introduction!$I$20</f>
        <v>0.4638405876</v>
      </c>
      <c r="J17" s="137">
        <f>I17*0.666</f>
        <v>0.3089178314</v>
      </c>
      <c r="K17" s="115">
        <f>(E17/Introduction!$I$20)*10</f>
        <v>106.0339583</v>
      </c>
      <c r="L17" s="115">
        <f>F17/Introduction!$I$20</f>
        <v>1.961628229</v>
      </c>
      <c r="M17" s="138">
        <f t="shared" ref="M17:N17" si="25">I17*25.4</f>
        <v>11.78155093</v>
      </c>
      <c r="N17" s="142">
        <f t="shared" si="25"/>
        <v>7.846512917</v>
      </c>
      <c r="O17" s="51"/>
      <c r="P17" s="51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96"/>
      <c r="AB17" s="76" t="s">
        <v>27</v>
      </c>
      <c r="AC17" s="56">
        <f>IF('Ship Data Imperial'!E18&gt;0,'Ship Data Imperial'!E18,AS17)</f>
        <v>0</v>
      </c>
      <c r="AD17" s="77"/>
      <c r="AE17" s="77"/>
      <c r="AF17" s="78"/>
      <c r="AG17" s="79">
        <f t="shared" si="1"/>
        <v>0</v>
      </c>
      <c r="AH17" s="80">
        <f t="shared" si="2"/>
        <v>0</v>
      </c>
      <c r="AI17" s="81">
        <f t="shared" si="22"/>
        <v>0</v>
      </c>
      <c r="AJ17" s="82">
        <f t="shared" si="4"/>
        <v>0</v>
      </c>
      <c r="AK17" s="83">
        <f t="shared" si="23"/>
        <v>0</v>
      </c>
      <c r="AL17" s="84">
        <f>IF(AC17&gt;0,Masts!$C$14*0.5,0)</f>
        <v>0</v>
      </c>
      <c r="AM17" s="85"/>
      <c r="AN17" s="86">
        <f t="shared" si="24"/>
        <v>0</v>
      </c>
      <c r="AO17" s="87"/>
      <c r="AP17" s="88">
        <f t="shared" si="7"/>
        <v>0</v>
      </c>
      <c r="AQ17" s="54"/>
      <c r="AR17" s="96"/>
      <c r="AS17" s="56">
        <f>'Ship Data Metric'!E18*0.03280839895</f>
        <v>0</v>
      </c>
      <c r="AT17" s="69">
        <f t="shared" si="8"/>
        <v>0</v>
      </c>
      <c r="AU17" s="87">
        <f t="shared" si="9"/>
        <v>0</v>
      </c>
      <c r="AV17" s="88">
        <f t="shared" si="10"/>
        <v>0</v>
      </c>
      <c r="AW17" s="80">
        <f t="shared" si="11"/>
        <v>0</v>
      </c>
      <c r="AX17" s="81">
        <f t="shared" si="12"/>
        <v>0</v>
      </c>
      <c r="AY17" s="88">
        <f t="shared" si="13"/>
        <v>0</v>
      </c>
    </row>
    <row r="18">
      <c r="A18" s="51"/>
      <c r="B18" s="118" t="s">
        <v>105</v>
      </c>
      <c r="C18" s="119">
        <f>AL136</f>
        <v>16.50181102</v>
      </c>
      <c r="D18" s="120">
        <f>AN272</f>
        <v>3.850422572</v>
      </c>
      <c r="E18" s="121">
        <f t="shared" si="14"/>
        <v>502.9752</v>
      </c>
      <c r="F18" s="122">
        <f t="shared" si="15"/>
        <v>97.80073333</v>
      </c>
      <c r="G18" s="123">
        <f>(C18/Introduction!$I$20)*12</f>
        <v>2.062726378</v>
      </c>
      <c r="H18" s="123">
        <f>D18/Introduction!$I$20</f>
        <v>0.04010856846</v>
      </c>
      <c r="I18" s="123">
        <f>((C18/Introduction!$I$20)*12)/10</f>
        <v>0.2062726378</v>
      </c>
      <c r="J18" s="114">
        <f>AY136/Introduction!$I$20</f>
        <v>0.5500603675</v>
      </c>
      <c r="K18" s="124">
        <f>(E18/Introduction!$I$20)*10</f>
        <v>52.39325</v>
      </c>
      <c r="L18" s="124">
        <f>F18/Introduction!$I$20</f>
        <v>1.018757639</v>
      </c>
      <c r="M18" s="116">
        <f t="shared" ref="M18:N18" si="26">I18*25.4</f>
        <v>5.239325</v>
      </c>
      <c r="N18" s="125">
        <f t="shared" si="26"/>
        <v>13.97153333</v>
      </c>
      <c r="O18" s="51"/>
      <c r="P18" s="51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96"/>
      <c r="AB18" s="76" t="s">
        <v>28</v>
      </c>
      <c r="AC18" s="56">
        <f>IF('Ship Data Imperial'!E19&gt;0,'Ship Data Imperial'!E19,AS18)</f>
        <v>0</v>
      </c>
      <c r="AD18" s="77"/>
      <c r="AE18" s="77"/>
      <c r="AF18" s="78"/>
      <c r="AG18" s="79">
        <f t="shared" si="1"/>
        <v>0</v>
      </c>
      <c r="AH18" s="80">
        <f t="shared" si="2"/>
        <v>0</v>
      </c>
      <c r="AI18" s="81">
        <f t="shared" si="22"/>
        <v>0</v>
      </c>
      <c r="AJ18" s="82">
        <f t="shared" si="4"/>
        <v>0</v>
      </c>
      <c r="AK18" s="83">
        <f t="shared" si="23"/>
        <v>0</v>
      </c>
      <c r="AL18" s="84">
        <f>IF(AC18&gt;0,Masts!$C$14*0.5,0)</f>
        <v>0</v>
      </c>
      <c r="AM18" s="85"/>
      <c r="AN18" s="86">
        <f t="shared" si="24"/>
        <v>0</v>
      </c>
      <c r="AO18" s="87"/>
      <c r="AP18" s="88">
        <f t="shared" si="7"/>
        <v>0</v>
      </c>
      <c r="AQ18" s="54"/>
      <c r="AR18" s="96"/>
      <c r="AS18" s="56">
        <f>'Ship Data Metric'!E19*0.03280839895</f>
        <v>0</v>
      </c>
      <c r="AT18" s="69">
        <f t="shared" si="8"/>
        <v>0</v>
      </c>
      <c r="AU18" s="87">
        <f t="shared" si="9"/>
        <v>0</v>
      </c>
      <c r="AV18" s="88">
        <f t="shared" si="10"/>
        <v>0</v>
      </c>
      <c r="AW18" s="80">
        <f t="shared" si="11"/>
        <v>0</v>
      </c>
      <c r="AX18" s="81">
        <f t="shared" si="12"/>
        <v>0</v>
      </c>
      <c r="AY18" s="88">
        <f t="shared" si="13"/>
        <v>0</v>
      </c>
    </row>
    <row r="19">
      <c r="A19" s="51"/>
      <c r="B19" s="118" t="s">
        <v>106</v>
      </c>
      <c r="C19" s="119">
        <f>AM136</f>
        <v>8.250905512</v>
      </c>
      <c r="D19" s="120">
        <f>C19/3</f>
        <v>2.750301837</v>
      </c>
      <c r="E19" s="121">
        <f t="shared" si="14"/>
        <v>251.4876</v>
      </c>
      <c r="F19" s="122">
        <f t="shared" si="15"/>
        <v>69.85766667</v>
      </c>
      <c r="G19" s="123">
        <f>(C19/Introduction!$I$20)*12</f>
        <v>1.031363189</v>
      </c>
      <c r="H19" s="123">
        <f>D19/Introduction!$I$20</f>
        <v>0.02864897747</v>
      </c>
      <c r="I19" s="123">
        <f>((C19/Introduction!$I$20)*12)/10</f>
        <v>0.1031363189</v>
      </c>
      <c r="J19" s="141">
        <f>J18/2</f>
        <v>0.2750301837</v>
      </c>
      <c r="K19" s="124">
        <f>(E19/Introduction!$I$20)*10</f>
        <v>26.196625</v>
      </c>
      <c r="L19" s="124">
        <f>F19/Introduction!$I$20</f>
        <v>0.7276840278</v>
      </c>
      <c r="M19" s="116">
        <f t="shared" ref="M19:N19" si="27">I19*25.4</f>
        <v>2.6196625</v>
      </c>
      <c r="N19" s="125">
        <f t="shared" si="27"/>
        <v>6.985766667</v>
      </c>
      <c r="O19" s="51"/>
      <c r="P19" s="51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96"/>
      <c r="AB19" s="76" t="s">
        <v>29</v>
      </c>
      <c r="AC19" s="56">
        <f>IF('Ship Data Imperial'!E20&gt;0,'Ship Data Imperial'!E20,AS19)</f>
        <v>0</v>
      </c>
      <c r="AD19" s="77"/>
      <c r="AE19" s="77"/>
      <c r="AF19" s="78"/>
      <c r="AG19" s="79">
        <f t="shared" si="1"/>
        <v>0</v>
      </c>
      <c r="AH19" s="80">
        <f t="shared" si="2"/>
        <v>0</v>
      </c>
      <c r="AI19" s="81">
        <f t="shared" si="22"/>
        <v>0</v>
      </c>
      <c r="AJ19" s="82">
        <f t="shared" si="4"/>
        <v>0</v>
      </c>
      <c r="AK19" s="83">
        <f t="shared" si="23"/>
        <v>0</v>
      </c>
      <c r="AL19" s="84">
        <f>IF(AC19&gt;0,Masts!$C$14*0.5,0)</f>
        <v>0</v>
      </c>
      <c r="AM19" s="85"/>
      <c r="AN19" s="86">
        <f t="shared" si="24"/>
        <v>0</v>
      </c>
      <c r="AO19" s="87"/>
      <c r="AP19" s="88">
        <f t="shared" si="7"/>
        <v>0</v>
      </c>
      <c r="AQ19" s="54"/>
      <c r="AR19" s="96"/>
      <c r="AS19" s="56">
        <f>'Ship Data Metric'!E20*0.03280839895</f>
        <v>0</v>
      </c>
      <c r="AT19" s="69">
        <f t="shared" si="8"/>
        <v>0</v>
      </c>
      <c r="AU19" s="87">
        <f t="shared" si="9"/>
        <v>0</v>
      </c>
      <c r="AV19" s="88">
        <f t="shared" si="10"/>
        <v>0</v>
      </c>
      <c r="AW19" s="80">
        <f t="shared" si="11"/>
        <v>0</v>
      </c>
      <c r="AX19" s="81">
        <f t="shared" si="12"/>
        <v>0</v>
      </c>
      <c r="AY19" s="88">
        <f t="shared" si="13"/>
        <v>0</v>
      </c>
    </row>
    <row r="20">
      <c r="A20" s="51"/>
      <c r="B20" s="126" t="s">
        <v>107</v>
      </c>
      <c r="C20" s="127">
        <f>C19*0.7</f>
        <v>5.775633858</v>
      </c>
      <c r="D20" s="128">
        <f>D19*0.666</f>
        <v>1.831701024</v>
      </c>
      <c r="E20" s="129">
        <f t="shared" si="14"/>
        <v>176.04132</v>
      </c>
      <c r="F20" s="130">
        <f t="shared" si="15"/>
        <v>46.525206</v>
      </c>
      <c r="G20" s="131">
        <f>(C20/Introduction!$I$20)*12</f>
        <v>0.7219542323</v>
      </c>
      <c r="H20" s="131">
        <f>D20/Introduction!$I$20</f>
        <v>0.019080219</v>
      </c>
      <c r="I20" s="132" t="s">
        <v>94</v>
      </c>
      <c r="J20" s="132" t="s">
        <v>94</v>
      </c>
      <c r="K20" s="133">
        <f>(E20/Introduction!$I$20)*10</f>
        <v>18.3376375</v>
      </c>
      <c r="L20" s="133">
        <f>F20/Introduction!$I$20</f>
        <v>0.4846375625</v>
      </c>
      <c r="M20" s="134" t="s">
        <v>94</v>
      </c>
      <c r="N20" s="135" t="s">
        <v>94</v>
      </c>
      <c r="O20" s="51"/>
      <c r="P20" s="51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75" t="s">
        <v>108</v>
      </c>
      <c r="AB20" s="76" t="s">
        <v>24</v>
      </c>
      <c r="AC20" s="56">
        <f>IF('Ship Data Imperial'!E21&gt;0,'Ship Data Imperial'!E21,AS20)</f>
        <v>0</v>
      </c>
      <c r="AD20" s="56">
        <f>IF('Ship Data Imperial'!F21&gt;0,'Ship Data Imperial'!F21,AS20)</f>
        <v>0</v>
      </c>
      <c r="AE20" s="56">
        <f>IF('Ship Data Imperial'!G21&gt;0,'Ship Data Imperial'!G21,AS20)</f>
        <v>0</v>
      </c>
      <c r="AF20" s="78"/>
      <c r="AG20" s="79">
        <f t="shared" ref="AG20:AG55" si="28">IF(AC20&gt;27,((AC20+AD20+AE20)/1.66)-(AC20-27),IF(AC20=27,AC20+AD20+AE20/1.66,IF(AC20&gt;1,((AC20+AD20+AE20)/1.66)+(27-AC20),0)))</f>
        <v>0</v>
      </c>
      <c r="AH20" s="80">
        <f t="shared" si="2"/>
        <v>0</v>
      </c>
      <c r="AI20" s="81">
        <f t="shared" ref="AI20:AI85" si="29">IF(AC20&gt;0,$AG$136*0.9,0)</f>
        <v>0</v>
      </c>
      <c r="AJ20" s="82">
        <f t="shared" si="4"/>
        <v>0</v>
      </c>
      <c r="AK20" s="83">
        <f t="shared" ref="AK20:AK55" si="30">IF(AC20&gt;0,$AG$136*0.67,0)</f>
        <v>0</v>
      </c>
      <c r="AL20" s="84">
        <f>IF(AC20&gt;0,Masts!$C$14*0.5,0)</f>
        <v>0</v>
      </c>
      <c r="AM20" s="85"/>
      <c r="AN20" s="86">
        <f t="shared" ref="AN20:AN61" si="31">IF(AC20&gt;0,$AG$136*0.66,0)</f>
        <v>0</v>
      </c>
      <c r="AO20" s="87"/>
      <c r="AP20" s="88">
        <f t="shared" ref="AP20:AP55" si="32">IF(AC20&gt;0,$AH$136*0.33,0)</f>
        <v>0</v>
      </c>
      <c r="AQ20" s="68"/>
      <c r="AR20" s="75" t="s">
        <v>32</v>
      </c>
      <c r="AS20" s="56">
        <f>'Ship Data Metric'!E21*0.03280839895</f>
        <v>0</v>
      </c>
      <c r="AT20" s="69">
        <f t="shared" ref="AT20:AT21" si="33">IF(AC20&gt;0,($AG$136/3)*4.5,0)</f>
        <v>0</v>
      </c>
      <c r="AU20" s="87">
        <f t="shared" ref="AU20:AU43" si="34">IF(AC20&gt;0,($AI$136/3)*4.5,0)</f>
        <v>0</v>
      </c>
      <c r="AV20" s="88">
        <f t="shared" si="10"/>
        <v>0</v>
      </c>
      <c r="AW20" s="80">
        <f t="shared" si="11"/>
        <v>0</v>
      </c>
      <c r="AX20" s="81">
        <f t="shared" si="12"/>
        <v>0</v>
      </c>
      <c r="AY20" s="88">
        <f t="shared" si="13"/>
        <v>0</v>
      </c>
    </row>
    <row r="21" ht="15.75" customHeight="1">
      <c r="A21" s="51"/>
      <c r="B21" s="143" t="s">
        <v>109</v>
      </c>
      <c r="C21" s="109">
        <f>C13/3</f>
        <v>13.09667542</v>
      </c>
      <c r="D21" s="110">
        <f>C21/6</f>
        <v>2.182779236</v>
      </c>
      <c r="E21" s="111">
        <f t="shared" si="14"/>
        <v>399.1866667</v>
      </c>
      <c r="F21" s="112">
        <f t="shared" si="15"/>
        <v>55.44259259</v>
      </c>
      <c r="G21" s="113">
        <f>(C21/Introduction!$I$20)*12</f>
        <v>1.637084427</v>
      </c>
      <c r="H21" s="113">
        <f>D21/Introduction!$I$20</f>
        <v>0.02273728371</v>
      </c>
      <c r="I21" s="136" t="s">
        <v>94</v>
      </c>
      <c r="J21" s="136" t="s">
        <v>94</v>
      </c>
      <c r="K21" s="115">
        <f>(E21/Introduction!$I$20)*10</f>
        <v>41.58194444</v>
      </c>
      <c r="L21" s="115">
        <f>F21/Introduction!$I$20</f>
        <v>0.5775270062</v>
      </c>
      <c r="M21" s="138" t="s">
        <v>94</v>
      </c>
      <c r="N21" s="142" t="s">
        <v>94</v>
      </c>
      <c r="O21" s="51"/>
      <c r="P21" s="51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96"/>
      <c r="AB21" s="76" t="s">
        <v>25</v>
      </c>
      <c r="AC21" s="56">
        <f>IF('Ship Data Imperial'!E22&gt;0,'Ship Data Imperial'!E22,AS21)</f>
        <v>0</v>
      </c>
      <c r="AD21" s="56">
        <f>IF('Ship Data Imperial'!F22&gt;0,'Ship Data Imperial'!F22,AS21)</f>
        <v>0</v>
      </c>
      <c r="AE21" s="56">
        <f>IF('Ship Data Imperial'!G22&gt;0,'Ship Data Imperial'!G22,AS21)</f>
        <v>0</v>
      </c>
      <c r="AF21" s="78"/>
      <c r="AG21" s="79">
        <f t="shared" si="28"/>
        <v>0</v>
      </c>
      <c r="AH21" s="80">
        <f t="shared" si="2"/>
        <v>0</v>
      </c>
      <c r="AI21" s="81">
        <f t="shared" si="29"/>
        <v>0</v>
      </c>
      <c r="AJ21" s="82">
        <f t="shared" si="4"/>
        <v>0</v>
      </c>
      <c r="AK21" s="83">
        <f t="shared" si="30"/>
        <v>0</v>
      </c>
      <c r="AL21" s="84">
        <f>IF(AC21&gt;0,Masts!$C$14*0.5,0)</f>
        <v>0</v>
      </c>
      <c r="AM21" s="85"/>
      <c r="AN21" s="86">
        <f t="shared" si="31"/>
        <v>0</v>
      </c>
      <c r="AO21" s="87"/>
      <c r="AP21" s="88">
        <f t="shared" si="32"/>
        <v>0</v>
      </c>
      <c r="AQ21" s="54"/>
      <c r="AR21" s="96"/>
      <c r="AS21" s="56">
        <f>'Ship Data Metric'!E22*0.03280839895</f>
        <v>0</v>
      </c>
      <c r="AT21" s="69">
        <f t="shared" si="33"/>
        <v>0</v>
      </c>
      <c r="AU21" s="87">
        <f t="shared" si="34"/>
        <v>0</v>
      </c>
      <c r="AV21" s="88">
        <f t="shared" si="10"/>
        <v>0</v>
      </c>
      <c r="AW21" s="80">
        <f t="shared" si="11"/>
        <v>0</v>
      </c>
      <c r="AX21" s="81">
        <f t="shared" si="12"/>
        <v>0</v>
      </c>
      <c r="AY21" s="88">
        <f t="shared" si="13"/>
        <v>0</v>
      </c>
    </row>
    <row r="22" ht="15.75" customHeight="1">
      <c r="A22" s="51"/>
      <c r="B22" s="126" t="s">
        <v>110</v>
      </c>
      <c r="C22" s="127">
        <f>C21/2</f>
        <v>6.548337708</v>
      </c>
      <c r="D22" s="128">
        <f>(C22/3)*0.75</f>
        <v>1.637084427</v>
      </c>
      <c r="E22" s="129">
        <f t="shared" si="14"/>
        <v>199.5933333</v>
      </c>
      <c r="F22" s="130">
        <f t="shared" si="15"/>
        <v>41.58194444</v>
      </c>
      <c r="G22" s="131">
        <f>(C22/Introduction!$I$20)*12</f>
        <v>0.8185422135</v>
      </c>
      <c r="H22" s="131">
        <f>D22/Introduction!$I$20</f>
        <v>0.01705296278</v>
      </c>
      <c r="I22" s="132" t="s">
        <v>94</v>
      </c>
      <c r="J22" s="132" t="s">
        <v>94</v>
      </c>
      <c r="K22" s="133">
        <f>(E22/Introduction!$I$20)*10</f>
        <v>20.79097222</v>
      </c>
      <c r="L22" s="133">
        <f>F22/Introduction!$I$20</f>
        <v>0.4331452546</v>
      </c>
      <c r="M22" s="134" t="s">
        <v>94</v>
      </c>
      <c r="N22" s="135" t="s">
        <v>94</v>
      </c>
      <c r="O22" s="51"/>
      <c r="P22" s="51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96"/>
      <c r="AB22" s="76" t="s">
        <v>26</v>
      </c>
      <c r="AC22" s="56">
        <f>IF('Ship Data Imperial'!E23&gt;0,'Ship Data Imperial'!E23,AS22)</f>
        <v>0</v>
      </c>
      <c r="AD22" s="56">
        <f>IF('Ship Data Imperial'!F23&gt;0,'Ship Data Imperial'!F23,AS22)</f>
        <v>0</v>
      </c>
      <c r="AE22" s="56">
        <f>IF('Ship Data Imperial'!G23&gt;0,'Ship Data Imperial'!G23,AS22)</f>
        <v>0</v>
      </c>
      <c r="AF22" s="78"/>
      <c r="AG22" s="79">
        <f t="shared" si="28"/>
        <v>0</v>
      </c>
      <c r="AH22" s="80">
        <f t="shared" si="2"/>
        <v>0</v>
      </c>
      <c r="AI22" s="81">
        <f t="shared" si="29"/>
        <v>0</v>
      </c>
      <c r="AJ22" s="82">
        <f t="shared" si="4"/>
        <v>0</v>
      </c>
      <c r="AK22" s="83">
        <f t="shared" si="30"/>
        <v>0</v>
      </c>
      <c r="AL22" s="84">
        <f>IF(AC22&gt;0,Masts!$C$14*0.5,0)</f>
        <v>0</v>
      </c>
      <c r="AM22" s="85"/>
      <c r="AN22" s="86">
        <f t="shared" si="31"/>
        <v>0</v>
      </c>
      <c r="AO22" s="87"/>
      <c r="AP22" s="88">
        <f t="shared" si="32"/>
        <v>0</v>
      </c>
      <c r="AQ22" s="54"/>
      <c r="AR22" s="96"/>
      <c r="AS22" s="56">
        <f>'Ship Data Metric'!E23*0.03280839895</f>
        <v>0</v>
      </c>
      <c r="AT22" s="69">
        <f t="shared" ref="AT22:AT31" si="35">IF(AC22&gt;0,($AG$99/3)*4.5,0)</f>
        <v>0</v>
      </c>
      <c r="AU22" s="87">
        <f t="shared" si="34"/>
        <v>0</v>
      </c>
      <c r="AV22" s="88">
        <f t="shared" si="10"/>
        <v>0</v>
      </c>
      <c r="AW22" s="80">
        <f t="shared" si="11"/>
        <v>0</v>
      </c>
      <c r="AX22" s="81">
        <f t="shared" si="12"/>
        <v>0</v>
      </c>
      <c r="AY22" s="88">
        <f t="shared" si="13"/>
        <v>0</v>
      </c>
    </row>
    <row r="23" ht="15.75" customHeight="1">
      <c r="A23" s="51"/>
      <c r="B23" s="51"/>
      <c r="C23" s="144"/>
      <c r="D23" s="144"/>
      <c r="E23" s="144"/>
      <c r="F23" s="144"/>
      <c r="G23" s="145" t="s">
        <v>111</v>
      </c>
      <c r="H23" s="146" t="s">
        <v>112</v>
      </c>
      <c r="I23" s="146"/>
      <c r="J23" s="147"/>
      <c r="K23" s="148"/>
      <c r="L23" s="148"/>
      <c r="M23" s="148"/>
      <c r="N23" s="51"/>
      <c r="O23" s="51"/>
      <c r="P23" s="51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96"/>
      <c r="AB23" s="76" t="s">
        <v>27</v>
      </c>
      <c r="AC23" s="56">
        <f>IF('Ship Data Imperial'!E24&gt;0,'Ship Data Imperial'!E24,AS23)</f>
        <v>0</v>
      </c>
      <c r="AD23" s="56">
        <f>IF('Ship Data Imperial'!F24&gt;0,'Ship Data Imperial'!F24,AS23)</f>
        <v>0</v>
      </c>
      <c r="AE23" s="56">
        <f>IF('Ship Data Imperial'!G24&gt;0,'Ship Data Imperial'!G24,AS23)</f>
        <v>0</v>
      </c>
      <c r="AF23" s="78"/>
      <c r="AG23" s="79">
        <f t="shared" si="28"/>
        <v>0</v>
      </c>
      <c r="AH23" s="80">
        <f t="shared" si="2"/>
        <v>0</v>
      </c>
      <c r="AI23" s="81">
        <f t="shared" si="29"/>
        <v>0</v>
      </c>
      <c r="AJ23" s="82">
        <f t="shared" si="4"/>
        <v>0</v>
      </c>
      <c r="AK23" s="83">
        <f t="shared" si="30"/>
        <v>0</v>
      </c>
      <c r="AL23" s="84">
        <f>IF(AC23&gt;0,Masts!$C$14*0.5,0)</f>
        <v>0</v>
      </c>
      <c r="AM23" s="85"/>
      <c r="AN23" s="86">
        <f t="shared" si="31"/>
        <v>0</v>
      </c>
      <c r="AO23" s="87"/>
      <c r="AP23" s="88">
        <f t="shared" si="32"/>
        <v>0</v>
      </c>
      <c r="AQ23" s="54"/>
      <c r="AR23" s="96"/>
      <c r="AS23" s="56">
        <f>'Ship Data Metric'!E24*0.03280839895</f>
        <v>0</v>
      </c>
      <c r="AT23" s="69">
        <f t="shared" si="35"/>
        <v>0</v>
      </c>
      <c r="AU23" s="87">
        <f t="shared" si="34"/>
        <v>0</v>
      </c>
      <c r="AV23" s="88">
        <f t="shared" si="10"/>
        <v>0</v>
      </c>
      <c r="AW23" s="80">
        <f t="shared" si="11"/>
        <v>0</v>
      </c>
      <c r="AX23" s="81">
        <f t="shared" si="12"/>
        <v>0</v>
      </c>
      <c r="AY23" s="88">
        <f t="shared" si="13"/>
        <v>0</v>
      </c>
    </row>
    <row r="24" ht="15.75" customHeight="1">
      <c r="A24" s="51"/>
      <c r="B24" s="51"/>
      <c r="C24" s="51"/>
      <c r="D24" s="51"/>
      <c r="E24" s="51"/>
      <c r="F24" s="51"/>
      <c r="G24" s="149"/>
      <c r="H24" s="150" t="s">
        <v>113</v>
      </c>
      <c r="I24" s="150"/>
      <c r="J24" s="151"/>
      <c r="K24" s="148"/>
      <c r="L24" s="148"/>
      <c r="M24" s="148"/>
      <c r="N24" s="51"/>
      <c r="O24" s="51"/>
      <c r="P24" s="51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96"/>
      <c r="AB24" s="76" t="s">
        <v>28</v>
      </c>
      <c r="AC24" s="56">
        <f>IF('Ship Data Imperial'!E25&gt;0,'Ship Data Imperial'!E25,AS24)</f>
        <v>0</v>
      </c>
      <c r="AD24" s="56">
        <f>IF('Ship Data Imperial'!F25&gt;0,'Ship Data Imperial'!F25,AS24)</f>
        <v>0</v>
      </c>
      <c r="AE24" s="56">
        <f>IF('Ship Data Imperial'!G25&gt;0,'Ship Data Imperial'!G25,AS24)</f>
        <v>0</v>
      </c>
      <c r="AF24" s="78"/>
      <c r="AG24" s="79">
        <f t="shared" si="28"/>
        <v>0</v>
      </c>
      <c r="AH24" s="80">
        <f t="shared" si="2"/>
        <v>0</v>
      </c>
      <c r="AI24" s="81">
        <f t="shared" si="29"/>
        <v>0</v>
      </c>
      <c r="AJ24" s="82">
        <f t="shared" si="4"/>
        <v>0</v>
      </c>
      <c r="AK24" s="83">
        <f t="shared" si="30"/>
        <v>0</v>
      </c>
      <c r="AL24" s="84">
        <f>IF(AC24&gt;0,Masts!$C$14*0.5,0)</f>
        <v>0</v>
      </c>
      <c r="AM24" s="85"/>
      <c r="AN24" s="86">
        <f t="shared" si="31"/>
        <v>0</v>
      </c>
      <c r="AO24" s="87"/>
      <c r="AP24" s="88">
        <f t="shared" si="32"/>
        <v>0</v>
      </c>
      <c r="AQ24" s="54"/>
      <c r="AR24" s="96"/>
      <c r="AS24" s="56">
        <f>'Ship Data Metric'!E25*0.03280839895</f>
        <v>0</v>
      </c>
      <c r="AT24" s="69">
        <f t="shared" si="35"/>
        <v>0</v>
      </c>
      <c r="AU24" s="87">
        <f t="shared" si="34"/>
        <v>0</v>
      </c>
      <c r="AV24" s="88">
        <f t="shared" si="10"/>
        <v>0</v>
      </c>
      <c r="AW24" s="80">
        <f t="shared" si="11"/>
        <v>0</v>
      </c>
      <c r="AX24" s="81">
        <f t="shared" si="12"/>
        <v>0</v>
      </c>
      <c r="AY24" s="88">
        <f t="shared" si="13"/>
        <v>0</v>
      </c>
    </row>
    <row r="25" ht="15.75" customHeight="1">
      <c r="A25" s="51"/>
      <c r="B25" s="51"/>
      <c r="C25" s="51"/>
      <c r="D25" s="51"/>
      <c r="E25" s="51"/>
      <c r="F25" s="51"/>
      <c r="G25" s="152"/>
      <c r="H25" s="153" t="s">
        <v>114</v>
      </c>
      <c r="I25" s="153"/>
      <c r="J25" s="154"/>
      <c r="K25" s="51"/>
      <c r="L25" s="51"/>
      <c r="M25" s="51"/>
      <c r="N25" s="51"/>
      <c r="O25" s="51"/>
      <c r="P25" s="51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96"/>
      <c r="AB25" s="76" t="s">
        <v>29</v>
      </c>
      <c r="AC25" s="56">
        <f>IF('Ship Data Imperial'!E26&gt;0,'Ship Data Imperial'!E26,AS25)</f>
        <v>0</v>
      </c>
      <c r="AD25" s="56">
        <f>IF('Ship Data Imperial'!F26&gt;0,'Ship Data Imperial'!F26,AS25)</f>
        <v>0</v>
      </c>
      <c r="AE25" s="56">
        <f>IF('Ship Data Imperial'!G26&gt;0,'Ship Data Imperial'!G26,AS25)</f>
        <v>0</v>
      </c>
      <c r="AF25" s="78"/>
      <c r="AG25" s="79">
        <f t="shared" si="28"/>
        <v>0</v>
      </c>
      <c r="AH25" s="80">
        <f t="shared" si="2"/>
        <v>0</v>
      </c>
      <c r="AI25" s="81">
        <f t="shared" si="29"/>
        <v>0</v>
      </c>
      <c r="AJ25" s="82">
        <f t="shared" si="4"/>
        <v>0</v>
      </c>
      <c r="AK25" s="83">
        <f t="shared" si="30"/>
        <v>0</v>
      </c>
      <c r="AL25" s="84">
        <f>IF(AC25&gt;0,Masts!$C$14*0.5,0)</f>
        <v>0</v>
      </c>
      <c r="AM25" s="85"/>
      <c r="AN25" s="86">
        <f t="shared" si="31"/>
        <v>0</v>
      </c>
      <c r="AO25" s="87"/>
      <c r="AP25" s="88">
        <f t="shared" si="32"/>
        <v>0</v>
      </c>
      <c r="AQ25" s="54"/>
      <c r="AR25" s="96"/>
      <c r="AS25" s="56">
        <f>'Ship Data Metric'!E26*0.03280839895</f>
        <v>0</v>
      </c>
      <c r="AT25" s="69">
        <f t="shared" si="35"/>
        <v>0</v>
      </c>
      <c r="AU25" s="87">
        <f t="shared" si="34"/>
        <v>0</v>
      </c>
      <c r="AV25" s="88">
        <f t="shared" si="10"/>
        <v>0</v>
      </c>
      <c r="AW25" s="80">
        <f t="shared" si="11"/>
        <v>0</v>
      </c>
      <c r="AX25" s="81">
        <f t="shared" si="12"/>
        <v>0</v>
      </c>
      <c r="AY25" s="88">
        <f t="shared" si="13"/>
        <v>0</v>
      </c>
    </row>
    <row r="26" ht="15.75" customHeight="1">
      <c r="A26" s="51"/>
      <c r="B26" s="51"/>
      <c r="C26" s="51"/>
      <c r="D26" s="51"/>
      <c r="E26" s="51"/>
      <c r="F26" s="51"/>
      <c r="G26" s="155"/>
      <c r="H26" s="156"/>
      <c r="I26" s="156"/>
      <c r="J26" s="156"/>
      <c r="K26" s="51"/>
      <c r="L26" s="51"/>
      <c r="M26" s="51"/>
      <c r="N26" s="51"/>
      <c r="O26" s="51"/>
      <c r="P26" s="51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96" t="s">
        <v>33</v>
      </c>
      <c r="AB26" s="76" t="s">
        <v>24</v>
      </c>
      <c r="AC26" s="56">
        <f>IF('Ship Data Imperial'!E27&gt;0,'Ship Data Imperial'!E27,AS26)</f>
        <v>0</v>
      </c>
      <c r="AD26" s="56">
        <f>IF('Ship Data Imperial'!F27&gt;0,'Ship Data Imperial'!F27,AS26)</f>
        <v>0</v>
      </c>
      <c r="AE26" s="56">
        <f>IF('Ship Data Imperial'!G27&gt;0,'Ship Data Imperial'!G27,AS26)</f>
        <v>0</v>
      </c>
      <c r="AF26" s="78"/>
      <c r="AG26" s="79">
        <f t="shared" si="28"/>
        <v>0</v>
      </c>
      <c r="AH26" s="80">
        <f t="shared" si="2"/>
        <v>0</v>
      </c>
      <c r="AI26" s="81">
        <f t="shared" si="29"/>
        <v>0</v>
      </c>
      <c r="AJ26" s="82">
        <f t="shared" si="4"/>
        <v>0</v>
      </c>
      <c r="AK26" s="83">
        <f t="shared" si="30"/>
        <v>0</v>
      </c>
      <c r="AL26" s="84">
        <f>IF(AC26&gt;0,Masts!$C$14*0.5,0)</f>
        <v>0</v>
      </c>
      <c r="AM26" s="85"/>
      <c r="AN26" s="86">
        <f t="shared" si="31"/>
        <v>0</v>
      </c>
      <c r="AO26" s="87"/>
      <c r="AP26" s="88">
        <f t="shared" si="32"/>
        <v>0</v>
      </c>
      <c r="AQ26" s="54"/>
      <c r="AR26" s="96" t="s">
        <v>33</v>
      </c>
      <c r="AS26" s="56">
        <f>'Ship Data Metric'!E27*0.03280839895</f>
        <v>0</v>
      </c>
      <c r="AT26" s="69">
        <f t="shared" si="35"/>
        <v>0</v>
      </c>
      <c r="AU26" s="87">
        <f t="shared" si="34"/>
        <v>0</v>
      </c>
      <c r="AV26" s="88">
        <f t="shared" si="10"/>
        <v>0</v>
      </c>
      <c r="AW26" s="80">
        <f t="shared" si="11"/>
        <v>0</v>
      </c>
      <c r="AX26" s="81">
        <f t="shared" si="12"/>
        <v>0</v>
      </c>
      <c r="AY26" s="88">
        <f t="shared" si="13"/>
        <v>0</v>
      </c>
    </row>
    <row r="27" ht="15.75" customHeight="1">
      <c r="A27" s="51"/>
      <c r="B27" s="51"/>
      <c r="C27" s="51"/>
      <c r="D27" s="51"/>
      <c r="E27" s="51"/>
      <c r="F27" s="51"/>
      <c r="G27" s="155"/>
      <c r="H27" s="156"/>
      <c r="I27" s="156"/>
      <c r="J27" s="156"/>
      <c r="K27" s="51"/>
      <c r="L27" s="51"/>
      <c r="M27" s="51"/>
      <c r="N27" s="51"/>
      <c r="O27" s="51"/>
      <c r="P27" s="51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96"/>
      <c r="AB27" s="76" t="s">
        <v>25</v>
      </c>
      <c r="AC27" s="56">
        <f>IF('Ship Data Imperial'!E28&gt;0,'Ship Data Imperial'!E28,AS27)</f>
        <v>0</v>
      </c>
      <c r="AD27" s="56">
        <f>IF('Ship Data Imperial'!F28&gt;0,'Ship Data Imperial'!F28,AS27)</f>
        <v>0</v>
      </c>
      <c r="AE27" s="56">
        <f>IF('Ship Data Imperial'!G28&gt;0,'Ship Data Imperial'!G28,AS27)</f>
        <v>0</v>
      </c>
      <c r="AF27" s="78"/>
      <c r="AG27" s="79">
        <f t="shared" si="28"/>
        <v>0</v>
      </c>
      <c r="AH27" s="80">
        <f t="shared" si="2"/>
        <v>0</v>
      </c>
      <c r="AI27" s="81">
        <f t="shared" si="29"/>
        <v>0</v>
      </c>
      <c r="AJ27" s="82">
        <f t="shared" si="4"/>
        <v>0</v>
      </c>
      <c r="AK27" s="83">
        <f t="shared" si="30"/>
        <v>0</v>
      </c>
      <c r="AL27" s="84">
        <f>IF(AC27&gt;0,Masts!$C$14*0.5,0)</f>
        <v>0</v>
      </c>
      <c r="AM27" s="85"/>
      <c r="AN27" s="86">
        <f t="shared" si="31"/>
        <v>0</v>
      </c>
      <c r="AO27" s="87"/>
      <c r="AP27" s="88">
        <f t="shared" si="32"/>
        <v>0</v>
      </c>
      <c r="AQ27" s="54"/>
      <c r="AR27" s="96"/>
      <c r="AS27" s="56">
        <f>'Ship Data Metric'!E28*0.03280839895</f>
        <v>0</v>
      </c>
      <c r="AT27" s="69">
        <f t="shared" si="35"/>
        <v>0</v>
      </c>
      <c r="AU27" s="87">
        <f t="shared" si="34"/>
        <v>0</v>
      </c>
      <c r="AV27" s="88">
        <f t="shared" si="10"/>
        <v>0</v>
      </c>
      <c r="AW27" s="80">
        <f t="shared" si="11"/>
        <v>0</v>
      </c>
      <c r="AX27" s="81">
        <f t="shared" si="12"/>
        <v>0</v>
      </c>
      <c r="AY27" s="88">
        <f t="shared" si="13"/>
        <v>0</v>
      </c>
    </row>
    <row r="28" ht="15.75" customHeight="1">
      <c r="A28" s="51"/>
      <c r="B28" s="51"/>
      <c r="C28" s="51"/>
      <c r="D28" s="51"/>
      <c r="E28" s="51"/>
      <c r="F28" s="51"/>
      <c r="G28" s="155"/>
      <c r="H28" s="156"/>
      <c r="I28" s="156"/>
      <c r="J28" s="156"/>
      <c r="K28" s="51"/>
      <c r="L28" s="51"/>
      <c r="M28" s="51"/>
      <c r="N28" s="51"/>
      <c r="O28" s="51"/>
      <c r="P28" s="51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96"/>
      <c r="AB28" s="76" t="s">
        <v>26</v>
      </c>
      <c r="AC28" s="56">
        <f>IF('Ship Data Imperial'!E29&gt;0,'Ship Data Imperial'!E29,AS28)</f>
        <v>0</v>
      </c>
      <c r="AD28" s="56">
        <f>IF('Ship Data Imperial'!F29&gt;0,'Ship Data Imperial'!F29,AS28)</f>
        <v>0</v>
      </c>
      <c r="AE28" s="56">
        <f>IF('Ship Data Imperial'!G29&gt;0,'Ship Data Imperial'!G29,AS28)</f>
        <v>0</v>
      </c>
      <c r="AF28" s="78"/>
      <c r="AG28" s="79">
        <f t="shared" si="28"/>
        <v>0</v>
      </c>
      <c r="AH28" s="80">
        <f t="shared" si="2"/>
        <v>0</v>
      </c>
      <c r="AI28" s="81">
        <f t="shared" si="29"/>
        <v>0</v>
      </c>
      <c r="AJ28" s="82">
        <f t="shared" si="4"/>
        <v>0</v>
      </c>
      <c r="AK28" s="83">
        <f t="shared" si="30"/>
        <v>0</v>
      </c>
      <c r="AL28" s="84">
        <f>IF(AC28&gt;0,Masts!$C$14*0.5,0)</f>
        <v>0</v>
      </c>
      <c r="AM28" s="85"/>
      <c r="AN28" s="86">
        <f t="shared" si="31"/>
        <v>0</v>
      </c>
      <c r="AO28" s="87"/>
      <c r="AP28" s="88">
        <f t="shared" si="32"/>
        <v>0</v>
      </c>
      <c r="AQ28" s="54"/>
      <c r="AR28" s="96"/>
      <c r="AS28" s="56">
        <f>'Ship Data Metric'!E29*0.03280839895</f>
        <v>0</v>
      </c>
      <c r="AT28" s="69">
        <f t="shared" si="35"/>
        <v>0</v>
      </c>
      <c r="AU28" s="87">
        <f t="shared" si="34"/>
        <v>0</v>
      </c>
      <c r="AV28" s="88">
        <f t="shared" si="10"/>
        <v>0</v>
      </c>
      <c r="AW28" s="80">
        <f t="shared" si="11"/>
        <v>0</v>
      </c>
      <c r="AX28" s="81">
        <f t="shared" si="12"/>
        <v>0</v>
      </c>
      <c r="AY28" s="88">
        <f t="shared" si="13"/>
        <v>0</v>
      </c>
    </row>
    <row r="29" ht="15.75" customHeight="1">
      <c r="A29" s="15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157"/>
      <c r="P29" s="157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96"/>
      <c r="AB29" s="76" t="s">
        <v>27</v>
      </c>
      <c r="AC29" s="56">
        <f>IF('Ship Data Imperial'!E30&gt;0,'Ship Data Imperial'!E30,AS29)</f>
        <v>0</v>
      </c>
      <c r="AD29" s="56">
        <f>IF('Ship Data Imperial'!F30&gt;0,'Ship Data Imperial'!F30,AS29)</f>
        <v>0</v>
      </c>
      <c r="AE29" s="56">
        <f>IF('Ship Data Imperial'!G30&gt;0,'Ship Data Imperial'!G30,AS29)</f>
        <v>0</v>
      </c>
      <c r="AF29" s="78"/>
      <c r="AG29" s="79">
        <f t="shared" si="28"/>
        <v>0</v>
      </c>
      <c r="AH29" s="80">
        <f t="shared" si="2"/>
        <v>0</v>
      </c>
      <c r="AI29" s="81">
        <f t="shared" si="29"/>
        <v>0</v>
      </c>
      <c r="AJ29" s="82">
        <f t="shared" si="4"/>
        <v>0</v>
      </c>
      <c r="AK29" s="83">
        <f t="shared" si="30"/>
        <v>0</v>
      </c>
      <c r="AL29" s="84">
        <f>IF(AC29&gt;0,Masts!$C$14*0.5,0)</f>
        <v>0</v>
      </c>
      <c r="AM29" s="85"/>
      <c r="AN29" s="86">
        <f t="shared" si="31"/>
        <v>0</v>
      </c>
      <c r="AO29" s="87"/>
      <c r="AP29" s="88">
        <f t="shared" si="32"/>
        <v>0</v>
      </c>
      <c r="AQ29" s="54"/>
      <c r="AR29" s="96"/>
      <c r="AS29" s="56">
        <f>'Ship Data Metric'!E30*0.03280839895</f>
        <v>0</v>
      </c>
      <c r="AT29" s="69">
        <f t="shared" si="35"/>
        <v>0</v>
      </c>
      <c r="AU29" s="87">
        <f t="shared" si="34"/>
        <v>0</v>
      </c>
      <c r="AV29" s="88">
        <f t="shared" si="10"/>
        <v>0</v>
      </c>
      <c r="AW29" s="80">
        <f t="shared" si="11"/>
        <v>0</v>
      </c>
      <c r="AX29" s="81">
        <f t="shared" si="12"/>
        <v>0</v>
      </c>
      <c r="AY29" s="88">
        <f t="shared" si="13"/>
        <v>0</v>
      </c>
    </row>
    <row r="30" ht="15.75" customHeight="1">
      <c r="A30" s="157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157"/>
      <c r="P30" s="157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96"/>
      <c r="AB30" s="76" t="s">
        <v>28</v>
      </c>
      <c r="AC30" s="56">
        <f>IF('Ship Data Imperial'!E31&gt;0,'Ship Data Imperial'!E31,AS30)</f>
        <v>0</v>
      </c>
      <c r="AD30" s="56">
        <f>IF('Ship Data Imperial'!F31&gt;0,'Ship Data Imperial'!F31,AS30)</f>
        <v>0</v>
      </c>
      <c r="AE30" s="56">
        <f>IF('Ship Data Imperial'!G31&gt;0,'Ship Data Imperial'!G31,AS30)</f>
        <v>0</v>
      </c>
      <c r="AF30" s="78"/>
      <c r="AG30" s="79">
        <f t="shared" si="28"/>
        <v>0</v>
      </c>
      <c r="AH30" s="80">
        <f t="shared" si="2"/>
        <v>0</v>
      </c>
      <c r="AI30" s="81">
        <f t="shared" si="29"/>
        <v>0</v>
      </c>
      <c r="AJ30" s="82">
        <f t="shared" si="4"/>
        <v>0</v>
      </c>
      <c r="AK30" s="83">
        <f t="shared" si="30"/>
        <v>0</v>
      </c>
      <c r="AL30" s="84">
        <f>IF(AC30&gt;0,Masts!$C$14*0.5,0)</f>
        <v>0</v>
      </c>
      <c r="AM30" s="85"/>
      <c r="AN30" s="86">
        <f t="shared" si="31"/>
        <v>0</v>
      </c>
      <c r="AO30" s="87"/>
      <c r="AP30" s="88">
        <f t="shared" si="32"/>
        <v>0</v>
      </c>
      <c r="AQ30" s="54"/>
      <c r="AR30" s="96"/>
      <c r="AS30" s="56">
        <f>'Ship Data Metric'!E31*0.03280839895</f>
        <v>0</v>
      </c>
      <c r="AT30" s="69">
        <f t="shared" si="35"/>
        <v>0</v>
      </c>
      <c r="AU30" s="87">
        <f t="shared" si="34"/>
        <v>0</v>
      </c>
      <c r="AV30" s="88">
        <f t="shared" si="10"/>
        <v>0</v>
      </c>
      <c r="AW30" s="80">
        <f t="shared" si="11"/>
        <v>0</v>
      </c>
      <c r="AX30" s="81">
        <f t="shared" si="12"/>
        <v>0</v>
      </c>
      <c r="AY30" s="88">
        <f t="shared" si="13"/>
        <v>0</v>
      </c>
    </row>
    <row r="31" ht="15.75" customHeight="1">
      <c r="A31" s="15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157"/>
      <c r="P31" s="157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96"/>
      <c r="AB31" s="76" t="s">
        <v>29</v>
      </c>
      <c r="AC31" s="56">
        <f>IF('Ship Data Imperial'!E32&gt;0,'Ship Data Imperial'!E32,AS31)</f>
        <v>0</v>
      </c>
      <c r="AD31" s="56">
        <f>IF('Ship Data Imperial'!F32&gt;0,'Ship Data Imperial'!F32,AS31)</f>
        <v>0</v>
      </c>
      <c r="AE31" s="56">
        <f>IF('Ship Data Imperial'!G32&gt;0,'Ship Data Imperial'!G32,AS31)</f>
        <v>0</v>
      </c>
      <c r="AF31" s="78"/>
      <c r="AG31" s="79">
        <f t="shared" si="28"/>
        <v>0</v>
      </c>
      <c r="AH31" s="80">
        <f t="shared" si="2"/>
        <v>0</v>
      </c>
      <c r="AI31" s="81">
        <f t="shared" si="29"/>
        <v>0</v>
      </c>
      <c r="AJ31" s="82">
        <f t="shared" si="4"/>
        <v>0</v>
      </c>
      <c r="AK31" s="83">
        <f t="shared" si="30"/>
        <v>0</v>
      </c>
      <c r="AL31" s="84">
        <f>IF(AC31&gt;0,Masts!$C$14*0.5,0)</f>
        <v>0</v>
      </c>
      <c r="AM31" s="85"/>
      <c r="AN31" s="86">
        <f t="shared" si="31"/>
        <v>0</v>
      </c>
      <c r="AO31" s="87"/>
      <c r="AP31" s="88">
        <f t="shared" si="32"/>
        <v>0</v>
      </c>
      <c r="AQ31" s="54"/>
      <c r="AR31" s="96"/>
      <c r="AS31" s="56">
        <f>'Ship Data Metric'!E32*0.03280839895</f>
        <v>0</v>
      </c>
      <c r="AT31" s="69">
        <f t="shared" si="35"/>
        <v>0</v>
      </c>
      <c r="AU31" s="87">
        <f t="shared" si="34"/>
        <v>0</v>
      </c>
      <c r="AV31" s="88">
        <f t="shared" si="10"/>
        <v>0</v>
      </c>
      <c r="AW31" s="80">
        <f t="shared" si="11"/>
        <v>0</v>
      </c>
      <c r="AX31" s="81">
        <f t="shared" si="12"/>
        <v>0</v>
      </c>
      <c r="AY31" s="88">
        <f t="shared" si="13"/>
        <v>0</v>
      </c>
    </row>
    <row r="32" ht="15.75" customHeight="1">
      <c r="A32" s="157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75" t="s">
        <v>34</v>
      </c>
      <c r="AB32" s="76" t="s">
        <v>24</v>
      </c>
      <c r="AC32" s="56">
        <f>IF('Ship Data Imperial'!E33&gt;0,'Ship Data Imperial'!E33,AS32)</f>
        <v>0</v>
      </c>
      <c r="AD32" s="56">
        <f>IF('Ship Data Imperial'!F33&gt;0,'Ship Data Imperial'!F33,AS32)</f>
        <v>0</v>
      </c>
      <c r="AE32" s="56">
        <f>IF('Ship Data Imperial'!G33&gt;0,'Ship Data Imperial'!G33,AS32)</f>
        <v>0</v>
      </c>
      <c r="AF32" s="78"/>
      <c r="AG32" s="79">
        <f t="shared" si="28"/>
        <v>0</v>
      </c>
      <c r="AH32" s="80">
        <f t="shared" si="2"/>
        <v>0</v>
      </c>
      <c r="AI32" s="81">
        <f t="shared" si="29"/>
        <v>0</v>
      </c>
      <c r="AJ32" s="82">
        <f t="shared" si="4"/>
        <v>0</v>
      </c>
      <c r="AK32" s="83">
        <f t="shared" si="30"/>
        <v>0</v>
      </c>
      <c r="AL32" s="84">
        <f>IF(AC32&gt;0,Masts!$C$14*0.5,0)</f>
        <v>0</v>
      </c>
      <c r="AM32" s="85"/>
      <c r="AN32" s="86">
        <f t="shared" si="31"/>
        <v>0</v>
      </c>
      <c r="AO32" s="87"/>
      <c r="AP32" s="88">
        <f t="shared" si="32"/>
        <v>0</v>
      </c>
      <c r="AQ32" s="68"/>
      <c r="AR32" s="75" t="s">
        <v>34</v>
      </c>
      <c r="AS32" s="56">
        <f>'Ship Data Metric'!E33*0.03280839895</f>
        <v>0</v>
      </c>
      <c r="AT32" s="69">
        <f t="shared" ref="AT32:AT43" si="36">IF(AC32&gt;0,($AG$136/3)*4.5,0)</f>
        <v>0</v>
      </c>
      <c r="AU32" s="87">
        <f t="shared" si="34"/>
        <v>0</v>
      </c>
      <c r="AV32" s="88">
        <f t="shared" si="10"/>
        <v>0</v>
      </c>
      <c r="AW32" s="80">
        <f t="shared" si="11"/>
        <v>0</v>
      </c>
      <c r="AX32" s="81">
        <f t="shared" si="12"/>
        <v>0</v>
      </c>
      <c r="AY32" s="88">
        <f t="shared" si="13"/>
        <v>0</v>
      </c>
    </row>
    <row r="33" ht="15.75" customHeight="1">
      <c r="A33" s="15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96"/>
      <c r="AB33" s="76" t="s">
        <v>25</v>
      </c>
      <c r="AC33" s="56">
        <f>IF('Ship Data Imperial'!E34&gt;0,'Ship Data Imperial'!E34,AS33)</f>
        <v>0</v>
      </c>
      <c r="AD33" s="56">
        <f>IF('Ship Data Imperial'!F34&gt;0,'Ship Data Imperial'!F34,AS33)</f>
        <v>0</v>
      </c>
      <c r="AE33" s="56">
        <f>IF('Ship Data Imperial'!G34&gt;0,'Ship Data Imperial'!G34,AS33)</f>
        <v>0</v>
      </c>
      <c r="AF33" s="78"/>
      <c r="AG33" s="79">
        <f t="shared" si="28"/>
        <v>0</v>
      </c>
      <c r="AH33" s="80">
        <f t="shared" si="2"/>
        <v>0</v>
      </c>
      <c r="AI33" s="81">
        <f t="shared" si="29"/>
        <v>0</v>
      </c>
      <c r="AJ33" s="82">
        <f t="shared" si="4"/>
        <v>0</v>
      </c>
      <c r="AK33" s="83">
        <f t="shared" si="30"/>
        <v>0</v>
      </c>
      <c r="AL33" s="84">
        <f>IF(AC33&gt;0,Masts!$C$14*0.5,0)</f>
        <v>0</v>
      </c>
      <c r="AM33" s="85"/>
      <c r="AN33" s="86">
        <f t="shared" si="31"/>
        <v>0</v>
      </c>
      <c r="AO33" s="87"/>
      <c r="AP33" s="88">
        <f t="shared" si="32"/>
        <v>0</v>
      </c>
      <c r="AQ33" s="54"/>
      <c r="AR33" s="96"/>
      <c r="AS33" s="56">
        <f>'Ship Data Metric'!E34*0.03280839895</f>
        <v>0</v>
      </c>
      <c r="AT33" s="69">
        <f t="shared" si="36"/>
        <v>0</v>
      </c>
      <c r="AU33" s="87">
        <f t="shared" si="34"/>
        <v>0</v>
      </c>
      <c r="AV33" s="88">
        <f t="shared" si="10"/>
        <v>0</v>
      </c>
      <c r="AW33" s="80">
        <f t="shared" si="11"/>
        <v>0</v>
      </c>
      <c r="AX33" s="81">
        <f t="shared" si="12"/>
        <v>0</v>
      </c>
      <c r="AY33" s="88">
        <f t="shared" si="13"/>
        <v>0</v>
      </c>
    </row>
    <row r="34" ht="15.75" customHeight="1">
      <c r="A34" s="157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96"/>
      <c r="AB34" s="76" t="s">
        <v>26</v>
      </c>
      <c r="AC34" s="56">
        <f>IF('Ship Data Imperial'!E35&gt;0,'Ship Data Imperial'!E35,AS34)</f>
        <v>0</v>
      </c>
      <c r="AD34" s="56">
        <f>IF('Ship Data Imperial'!F35&gt;0,'Ship Data Imperial'!F35,AS34)</f>
        <v>0</v>
      </c>
      <c r="AE34" s="56">
        <f>IF('Ship Data Imperial'!G35&gt;0,'Ship Data Imperial'!G35,AS34)</f>
        <v>0</v>
      </c>
      <c r="AF34" s="78"/>
      <c r="AG34" s="79">
        <f t="shared" si="28"/>
        <v>0</v>
      </c>
      <c r="AH34" s="80">
        <f t="shared" si="2"/>
        <v>0</v>
      </c>
      <c r="AI34" s="81">
        <f t="shared" si="29"/>
        <v>0</v>
      </c>
      <c r="AJ34" s="82">
        <f t="shared" si="4"/>
        <v>0</v>
      </c>
      <c r="AK34" s="83">
        <f t="shared" si="30"/>
        <v>0</v>
      </c>
      <c r="AL34" s="84">
        <f>IF(AC34&gt;0,Masts!$C$14*0.5,0)</f>
        <v>0</v>
      </c>
      <c r="AM34" s="85"/>
      <c r="AN34" s="86">
        <f t="shared" si="31"/>
        <v>0</v>
      </c>
      <c r="AO34" s="87"/>
      <c r="AP34" s="88">
        <f t="shared" si="32"/>
        <v>0</v>
      </c>
      <c r="AQ34" s="54"/>
      <c r="AR34" s="96"/>
      <c r="AS34" s="56">
        <f>'Ship Data Metric'!E35*0.03280839895</f>
        <v>0</v>
      </c>
      <c r="AT34" s="69">
        <f t="shared" si="36"/>
        <v>0</v>
      </c>
      <c r="AU34" s="87">
        <f t="shared" si="34"/>
        <v>0</v>
      </c>
      <c r="AV34" s="88">
        <f t="shared" si="10"/>
        <v>0</v>
      </c>
      <c r="AW34" s="80">
        <f t="shared" si="11"/>
        <v>0</v>
      </c>
      <c r="AX34" s="81">
        <f t="shared" si="12"/>
        <v>0</v>
      </c>
      <c r="AY34" s="88">
        <f t="shared" si="13"/>
        <v>0</v>
      </c>
    </row>
    <row r="35" ht="15.75" customHeight="1">
      <c r="A35" s="15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96"/>
      <c r="AB35" s="76" t="s">
        <v>27</v>
      </c>
      <c r="AC35" s="56">
        <f>IF('Ship Data Imperial'!E36&gt;0,'Ship Data Imperial'!E36,AS35)</f>
        <v>0</v>
      </c>
      <c r="AD35" s="56">
        <f>IF('Ship Data Imperial'!F36&gt;0,'Ship Data Imperial'!F36,AS35)</f>
        <v>0</v>
      </c>
      <c r="AE35" s="56">
        <f>IF('Ship Data Imperial'!G36&gt;0,'Ship Data Imperial'!G36,AS35)</f>
        <v>0</v>
      </c>
      <c r="AF35" s="78"/>
      <c r="AG35" s="79">
        <f t="shared" si="28"/>
        <v>0</v>
      </c>
      <c r="AH35" s="80">
        <f t="shared" si="2"/>
        <v>0</v>
      </c>
      <c r="AI35" s="81">
        <f t="shared" si="29"/>
        <v>0</v>
      </c>
      <c r="AJ35" s="82">
        <f t="shared" si="4"/>
        <v>0</v>
      </c>
      <c r="AK35" s="83">
        <f t="shared" si="30"/>
        <v>0</v>
      </c>
      <c r="AL35" s="84">
        <f>IF(AC35&gt;0,Masts!$C$14*0.5,0)</f>
        <v>0</v>
      </c>
      <c r="AM35" s="85"/>
      <c r="AN35" s="86">
        <f t="shared" si="31"/>
        <v>0</v>
      </c>
      <c r="AO35" s="87"/>
      <c r="AP35" s="88">
        <f t="shared" si="32"/>
        <v>0</v>
      </c>
      <c r="AQ35" s="54"/>
      <c r="AR35" s="96"/>
      <c r="AS35" s="56">
        <f>'Ship Data Metric'!E36*0.03280839895</f>
        <v>0</v>
      </c>
      <c r="AT35" s="69">
        <f t="shared" si="36"/>
        <v>0</v>
      </c>
      <c r="AU35" s="87">
        <f t="shared" si="34"/>
        <v>0</v>
      </c>
      <c r="AV35" s="88">
        <f t="shared" si="10"/>
        <v>0</v>
      </c>
      <c r="AW35" s="80">
        <f t="shared" si="11"/>
        <v>0</v>
      </c>
      <c r="AX35" s="81">
        <f t="shared" si="12"/>
        <v>0</v>
      </c>
      <c r="AY35" s="88">
        <f t="shared" si="13"/>
        <v>0</v>
      </c>
    </row>
    <row r="36" ht="15.75" customHeight="1">
      <c r="A36" s="157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96"/>
      <c r="AB36" s="76" t="s">
        <v>28</v>
      </c>
      <c r="AC36" s="56">
        <f>IF('Ship Data Imperial'!E37&gt;0,'Ship Data Imperial'!E37,AS36)</f>
        <v>0</v>
      </c>
      <c r="AD36" s="56">
        <f>IF('Ship Data Imperial'!F37&gt;0,'Ship Data Imperial'!F37,AS36)</f>
        <v>0</v>
      </c>
      <c r="AE36" s="56">
        <f>IF('Ship Data Imperial'!G37&gt;0,'Ship Data Imperial'!G37,AS36)</f>
        <v>0</v>
      </c>
      <c r="AF36" s="78"/>
      <c r="AG36" s="79">
        <f t="shared" si="28"/>
        <v>0</v>
      </c>
      <c r="AH36" s="80">
        <f t="shared" si="2"/>
        <v>0</v>
      </c>
      <c r="AI36" s="81">
        <f t="shared" si="29"/>
        <v>0</v>
      </c>
      <c r="AJ36" s="82">
        <f t="shared" si="4"/>
        <v>0</v>
      </c>
      <c r="AK36" s="83">
        <f t="shared" si="30"/>
        <v>0</v>
      </c>
      <c r="AL36" s="84">
        <f>IF(AC36&gt;0,Masts!$C$14*0.5,0)</f>
        <v>0</v>
      </c>
      <c r="AM36" s="85"/>
      <c r="AN36" s="86">
        <f t="shared" si="31"/>
        <v>0</v>
      </c>
      <c r="AO36" s="87"/>
      <c r="AP36" s="88">
        <f t="shared" si="32"/>
        <v>0</v>
      </c>
      <c r="AQ36" s="54"/>
      <c r="AR36" s="96"/>
      <c r="AS36" s="56">
        <f>'Ship Data Metric'!E37*0.03280839895</f>
        <v>0</v>
      </c>
      <c r="AT36" s="69">
        <f t="shared" si="36"/>
        <v>0</v>
      </c>
      <c r="AU36" s="87">
        <f t="shared" si="34"/>
        <v>0</v>
      </c>
      <c r="AV36" s="88">
        <f t="shared" si="10"/>
        <v>0</v>
      </c>
      <c r="AW36" s="80">
        <f t="shared" si="11"/>
        <v>0</v>
      </c>
      <c r="AX36" s="81">
        <f t="shared" si="12"/>
        <v>0</v>
      </c>
      <c r="AY36" s="88">
        <f t="shared" si="13"/>
        <v>0</v>
      </c>
    </row>
    <row r="37" ht="15.75" customHeight="1">
      <c r="A37" s="157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96"/>
      <c r="AB37" s="76" t="s">
        <v>29</v>
      </c>
      <c r="AC37" s="56">
        <f>IF('Ship Data Imperial'!E38&gt;0,'Ship Data Imperial'!E38,AS37)</f>
        <v>0</v>
      </c>
      <c r="AD37" s="56">
        <f>IF('Ship Data Imperial'!F38&gt;0,'Ship Data Imperial'!F38,AS37)</f>
        <v>0</v>
      </c>
      <c r="AE37" s="56">
        <f>IF('Ship Data Imperial'!G38&gt;0,'Ship Data Imperial'!G38,AS37)</f>
        <v>0</v>
      </c>
      <c r="AF37" s="78"/>
      <c r="AG37" s="79">
        <f t="shared" si="28"/>
        <v>0</v>
      </c>
      <c r="AH37" s="80">
        <f t="shared" si="2"/>
        <v>0</v>
      </c>
      <c r="AI37" s="81">
        <f t="shared" si="29"/>
        <v>0</v>
      </c>
      <c r="AJ37" s="82">
        <f t="shared" si="4"/>
        <v>0</v>
      </c>
      <c r="AK37" s="83">
        <f t="shared" si="30"/>
        <v>0</v>
      </c>
      <c r="AL37" s="84">
        <f>IF(AC37&gt;0,Masts!$C$14*0.5,0)</f>
        <v>0</v>
      </c>
      <c r="AM37" s="85"/>
      <c r="AN37" s="86">
        <f t="shared" si="31"/>
        <v>0</v>
      </c>
      <c r="AO37" s="87"/>
      <c r="AP37" s="88">
        <f t="shared" si="32"/>
        <v>0</v>
      </c>
      <c r="AQ37" s="54"/>
      <c r="AR37" s="96"/>
      <c r="AS37" s="56">
        <f>'Ship Data Metric'!E38*0.03280839895</f>
        <v>0</v>
      </c>
      <c r="AT37" s="69">
        <f t="shared" si="36"/>
        <v>0</v>
      </c>
      <c r="AU37" s="87">
        <f t="shared" si="34"/>
        <v>0</v>
      </c>
      <c r="AV37" s="88">
        <f t="shared" si="10"/>
        <v>0</v>
      </c>
      <c r="AW37" s="80">
        <f t="shared" si="11"/>
        <v>0</v>
      </c>
      <c r="AX37" s="81">
        <f t="shared" si="12"/>
        <v>0</v>
      </c>
      <c r="AY37" s="88">
        <f t="shared" si="13"/>
        <v>0</v>
      </c>
    </row>
    <row r="38" ht="15.75" customHeight="1">
      <c r="A38" s="157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75" t="s">
        <v>35</v>
      </c>
      <c r="AB38" s="76" t="s">
        <v>24</v>
      </c>
      <c r="AC38" s="56">
        <f>IF('Ship Data Imperial'!E39&gt;0,'Ship Data Imperial'!E39,AS38)</f>
        <v>0</v>
      </c>
      <c r="AD38" s="56">
        <f>IF('Ship Data Imperial'!F39&gt;0,'Ship Data Imperial'!F39,AS38)</f>
        <v>0</v>
      </c>
      <c r="AE38" s="56">
        <f>IF('Ship Data Imperial'!G39&gt;0,'Ship Data Imperial'!G39,AS38)</f>
        <v>0</v>
      </c>
      <c r="AF38" s="78"/>
      <c r="AG38" s="79">
        <f t="shared" si="28"/>
        <v>0</v>
      </c>
      <c r="AH38" s="80">
        <f t="shared" si="2"/>
        <v>0</v>
      </c>
      <c r="AI38" s="81">
        <f t="shared" si="29"/>
        <v>0</v>
      </c>
      <c r="AJ38" s="82">
        <f t="shared" si="4"/>
        <v>0</v>
      </c>
      <c r="AK38" s="83">
        <f t="shared" si="30"/>
        <v>0</v>
      </c>
      <c r="AL38" s="84">
        <f>IF(AC38&gt;0,Masts!$C$14*0.5,0)</f>
        <v>0</v>
      </c>
      <c r="AM38" s="85"/>
      <c r="AN38" s="86">
        <f t="shared" si="31"/>
        <v>0</v>
      </c>
      <c r="AO38" s="87"/>
      <c r="AP38" s="88">
        <f t="shared" si="32"/>
        <v>0</v>
      </c>
      <c r="AQ38" s="68"/>
      <c r="AR38" s="75" t="s">
        <v>35</v>
      </c>
      <c r="AS38" s="56">
        <f>'Ship Data Metric'!E39*0.03280839895</f>
        <v>0</v>
      </c>
      <c r="AT38" s="69">
        <f t="shared" si="36"/>
        <v>0</v>
      </c>
      <c r="AU38" s="87">
        <f t="shared" si="34"/>
        <v>0</v>
      </c>
      <c r="AV38" s="88">
        <f t="shared" si="10"/>
        <v>0</v>
      </c>
      <c r="AW38" s="80">
        <f t="shared" si="11"/>
        <v>0</v>
      </c>
      <c r="AX38" s="81">
        <f t="shared" si="12"/>
        <v>0</v>
      </c>
      <c r="AY38" s="88">
        <f t="shared" si="13"/>
        <v>0</v>
      </c>
    </row>
    <row r="39" ht="15.75" customHeight="1">
      <c r="A39" s="157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96"/>
      <c r="AB39" s="76" t="s">
        <v>25</v>
      </c>
      <c r="AC39" s="56">
        <f>IF('Ship Data Imperial'!E40&gt;0,'Ship Data Imperial'!E40,AS39)</f>
        <v>0</v>
      </c>
      <c r="AD39" s="56">
        <f>IF('Ship Data Imperial'!F40&gt;0,'Ship Data Imperial'!F40,AS39)</f>
        <v>0</v>
      </c>
      <c r="AE39" s="56">
        <f>IF('Ship Data Imperial'!G40&gt;0,'Ship Data Imperial'!G40,AS39)</f>
        <v>0</v>
      </c>
      <c r="AF39" s="78"/>
      <c r="AG39" s="79">
        <f t="shared" si="28"/>
        <v>0</v>
      </c>
      <c r="AH39" s="80">
        <f t="shared" si="2"/>
        <v>0</v>
      </c>
      <c r="AI39" s="81">
        <f t="shared" si="29"/>
        <v>0</v>
      </c>
      <c r="AJ39" s="82">
        <f t="shared" si="4"/>
        <v>0</v>
      </c>
      <c r="AK39" s="83">
        <f t="shared" si="30"/>
        <v>0</v>
      </c>
      <c r="AL39" s="84">
        <f>IF(AC39&gt;0,Masts!$C$14*0.5,0)</f>
        <v>0</v>
      </c>
      <c r="AM39" s="85"/>
      <c r="AN39" s="86">
        <f t="shared" si="31"/>
        <v>0</v>
      </c>
      <c r="AO39" s="87"/>
      <c r="AP39" s="88">
        <f t="shared" si="32"/>
        <v>0</v>
      </c>
      <c r="AQ39" s="54"/>
      <c r="AR39" s="96"/>
      <c r="AS39" s="56">
        <f>'Ship Data Metric'!E40*0.03280839895</f>
        <v>0</v>
      </c>
      <c r="AT39" s="69">
        <f t="shared" si="36"/>
        <v>0</v>
      </c>
      <c r="AU39" s="87">
        <f t="shared" si="34"/>
        <v>0</v>
      </c>
      <c r="AV39" s="88">
        <f t="shared" si="10"/>
        <v>0</v>
      </c>
      <c r="AW39" s="80">
        <f t="shared" si="11"/>
        <v>0</v>
      </c>
      <c r="AX39" s="81">
        <f t="shared" si="12"/>
        <v>0</v>
      </c>
      <c r="AY39" s="88">
        <f t="shared" si="13"/>
        <v>0</v>
      </c>
    </row>
    <row r="40" ht="15.75" customHeight="1">
      <c r="A40" s="157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96"/>
      <c r="AB40" s="76" t="s">
        <v>26</v>
      </c>
      <c r="AC40" s="56">
        <f>IF('Ship Data Imperial'!E41&gt;0,'Ship Data Imperial'!E41,AS40)</f>
        <v>0</v>
      </c>
      <c r="AD40" s="56">
        <f>IF('Ship Data Imperial'!F41&gt;0,'Ship Data Imperial'!F41,AS40)</f>
        <v>0</v>
      </c>
      <c r="AE40" s="56">
        <f>IF('Ship Data Imperial'!G41&gt;0,'Ship Data Imperial'!G41,AS40)</f>
        <v>0</v>
      </c>
      <c r="AF40" s="78"/>
      <c r="AG40" s="79">
        <f t="shared" si="28"/>
        <v>0</v>
      </c>
      <c r="AH40" s="80">
        <f t="shared" si="2"/>
        <v>0</v>
      </c>
      <c r="AI40" s="81">
        <f t="shared" si="29"/>
        <v>0</v>
      </c>
      <c r="AJ40" s="82">
        <f t="shared" si="4"/>
        <v>0</v>
      </c>
      <c r="AK40" s="83">
        <f t="shared" si="30"/>
        <v>0</v>
      </c>
      <c r="AL40" s="84">
        <f>IF(AC40&gt;0,Masts!$C$14*0.5,0)</f>
        <v>0</v>
      </c>
      <c r="AM40" s="85"/>
      <c r="AN40" s="86">
        <f t="shared" si="31"/>
        <v>0</v>
      </c>
      <c r="AO40" s="87"/>
      <c r="AP40" s="88">
        <f t="shared" si="32"/>
        <v>0</v>
      </c>
      <c r="AQ40" s="54"/>
      <c r="AR40" s="96"/>
      <c r="AS40" s="56">
        <f>'Ship Data Metric'!E41*0.03280839895</f>
        <v>0</v>
      </c>
      <c r="AT40" s="69">
        <f t="shared" si="36"/>
        <v>0</v>
      </c>
      <c r="AU40" s="87">
        <f t="shared" si="34"/>
        <v>0</v>
      </c>
      <c r="AV40" s="88">
        <f t="shared" si="10"/>
        <v>0</v>
      </c>
      <c r="AW40" s="80">
        <f t="shared" si="11"/>
        <v>0</v>
      </c>
      <c r="AX40" s="81">
        <f t="shared" si="12"/>
        <v>0</v>
      </c>
      <c r="AY40" s="88">
        <f t="shared" si="13"/>
        <v>0</v>
      </c>
    </row>
    <row r="41" ht="15.75" customHeight="1">
      <c r="A41" s="157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96"/>
      <c r="AB41" s="76" t="s">
        <v>27</v>
      </c>
      <c r="AC41" s="56">
        <f>IF('Ship Data Imperial'!E42&gt;0,'Ship Data Imperial'!E42,AS41)</f>
        <v>0</v>
      </c>
      <c r="AD41" s="56">
        <f>IF('Ship Data Imperial'!F42&gt;0,'Ship Data Imperial'!F42,AS41)</f>
        <v>0</v>
      </c>
      <c r="AE41" s="56">
        <f>IF('Ship Data Imperial'!G42&gt;0,'Ship Data Imperial'!G42,AS41)</f>
        <v>0</v>
      </c>
      <c r="AF41" s="78"/>
      <c r="AG41" s="79">
        <f t="shared" si="28"/>
        <v>0</v>
      </c>
      <c r="AH41" s="80">
        <f t="shared" si="2"/>
        <v>0</v>
      </c>
      <c r="AI41" s="81">
        <f t="shared" si="29"/>
        <v>0</v>
      </c>
      <c r="AJ41" s="82">
        <f t="shared" si="4"/>
        <v>0</v>
      </c>
      <c r="AK41" s="83">
        <f t="shared" si="30"/>
        <v>0</v>
      </c>
      <c r="AL41" s="84">
        <f>IF(AC41&gt;0,Masts!$C$14*0.5,0)</f>
        <v>0</v>
      </c>
      <c r="AM41" s="85"/>
      <c r="AN41" s="86">
        <f t="shared" si="31"/>
        <v>0</v>
      </c>
      <c r="AO41" s="87"/>
      <c r="AP41" s="88">
        <f t="shared" si="32"/>
        <v>0</v>
      </c>
      <c r="AQ41" s="54"/>
      <c r="AR41" s="96"/>
      <c r="AS41" s="56">
        <f>'Ship Data Metric'!E42*0.03280839895</f>
        <v>0</v>
      </c>
      <c r="AT41" s="69">
        <f t="shared" si="36"/>
        <v>0</v>
      </c>
      <c r="AU41" s="87">
        <f t="shared" si="34"/>
        <v>0</v>
      </c>
      <c r="AV41" s="88">
        <f t="shared" si="10"/>
        <v>0</v>
      </c>
      <c r="AW41" s="80">
        <f t="shared" si="11"/>
        <v>0</v>
      </c>
      <c r="AX41" s="81">
        <f t="shared" si="12"/>
        <v>0</v>
      </c>
      <c r="AY41" s="88">
        <f t="shared" si="13"/>
        <v>0</v>
      </c>
    </row>
    <row r="42" ht="15.75" customHeight="1">
      <c r="A42" s="157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96"/>
      <c r="AB42" s="76" t="s">
        <v>28</v>
      </c>
      <c r="AC42" s="56">
        <f>IF('Ship Data Imperial'!E43&gt;0,'Ship Data Imperial'!E43,AS42)</f>
        <v>0</v>
      </c>
      <c r="AD42" s="56">
        <f>IF('Ship Data Imperial'!F43&gt;0,'Ship Data Imperial'!F43,AS42)</f>
        <v>0</v>
      </c>
      <c r="AE42" s="56">
        <f>IF('Ship Data Imperial'!G43&gt;0,'Ship Data Imperial'!G43,AS42)</f>
        <v>0</v>
      </c>
      <c r="AF42" s="78"/>
      <c r="AG42" s="79">
        <f t="shared" si="28"/>
        <v>0</v>
      </c>
      <c r="AH42" s="80">
        <f t="shared" si="2"/>
        <v>0</v>
      </c>
      <c r="AI42" s="81">
        <f t="shared" si="29"/>
        <v>0</v>
      </c>
      <c r="AJ42" s="82">
        <f t="shared" si="4"/>
        <v>0</v>
      </c>
      <c r="AK42" s="83">
        <f t="shared" si="30"/>
        <v>0</v>
      </c>
      <c r="AL42" s="84">
        <f>IF(AC42&gt;0,Masts!$C$14*0.5,0)</f>
        <v>0</v>
      </c>
      <c r="AM42" s="85"/>
      <c r="AN42" s="86">
        <f t="shared" si="31"/>
        <v>0</v>
      </c>
      <c r="AO42" s="87"/>
      <c r="AP42" s="88">
        <f t="shared" si="32"/>
        <v>0</v>
      </c>
      <c r="AQ42" s="54"/>
      <c r="AR42" s="96"/>
      <c r="AS42" s="56">
        <f>'Ship Data Metric'!E43*0.03280839895</f>
        <v>0</v>
      </c>
      <c r="AT42" s="69">
        <f t="shared" si="36"/>
        <v>0</v>
      </c>
      <c r="AU42" s="87">
        <f t="shared" si="34"/>
        <v>0</v>
      </c>
      <c r="AV42" s="88">
        <f t="shared" si="10"/>
        <v>0</v>
      </c>
      <c r="AW42" s="80">
        <f t="shared" si="11"/>
        <v>0</v>
      </c>
      <c r="AX42" s="81">
        <f t="shared" si="12"/>
        <v>0</v>
      </c>
      <c r="AY42" s="88">
        <f t="shared" si="13"/>
        <v>0</v>
      </c>
    </row>
    <row r="43" ht="15.75" customHeight="1">
      <c r="A43" s="157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96"/>
      <c r="AB43" s="76" t="s">
        <v>29</v>
      </c>
      <c r="AC43" s="56">
        <f>IF('Ship Data Imperial'!E44&gt;0,'Ship Data Imperial'!E44,AS43)</f>
        <v>0</v>
      </c>
      <c r="AD43" s="56">
        <f>IF('Ship Data Imperial'!F44&gt;0,'Ship Data Imperial'!F44,AS43)</f>
        <v>0</v>
      </c>
      <c r="AE43" s="56">
        <f>IF('Ship Data Imperial'!G44&gt;0,'Ship Data Imperial'!G44,AS43)</f>
        <v>0</v>
      </c>
      <c r="AF43" s="78"/>
      <c r="AG43" s="79">
        <f t="shared" si="28"/>
        <v>0</v>
      </c>
      <c r="AH43" s="80">
        <f t="shared" si="2"/>
        <v>0</v>
      </c>
      <c r="AI43" s="81">
        <f t="shared" si="29"/>
        <v>0</v>
      </c>
      <c r="AJ43" s="82">
        <f t="shared" si="4"/>
        <v>0</v>
      </c>
      <c r="AK43" s="83">
        <f t="shared" si="30"/>
        <v>0</v>
      </c>
      <c r="AL43" s="84">
        <f>IF(AC43&gt;0,Masts!$C$14*0.5,0)</f>
        <v>0</v>
      </c>
      <c r="AM43" s="85"/>
      <c r="AN43" s="86">
        <f t="shared" si="31"/>
        <v>0</v>
      </c>
      <c r="AO43" s="87"/>
      <c r="AP43" s="88">
        <f t="shared" si="32"/>
        <v>0</v>
      </c>
      <c r="AQ43" s="54"/>
      <c r="AR43" s="96"/>
      <c r="AS43" s="56">
        <f>'Ship Data Metric'!E44*0.03280839895</f>
        <v>0</v>
      </c>
      <c r="AT43" s="69">
        <f t="shared" si="36"/>
        <v>0</v>
      </c>
      <c r="AU43" s="87">
        <f t="shared" si="34"/>
        <v>0</v>
      </c>
      <c r="AV43" s="88">
        <f t="shared" si="10"/>
        <v>0</v>
      </c>
      <c r="AW43" s="80">
        <f t="shared" si="11"/>
        <v>0</v>
      </c>
      <c r="AX43" s="81">
        <f t="shared" si="12"/>
        <v>0</v>
      </c>
      <c r="AY43" s="88">
        <f t="shared" si="13"/>
        <v>0</v>
      </c>
    </row>
    <row r="44" ht="15.75" customHeight="1">
      <c r="A44" s="157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75" t="s">
        <v>36</v>
      </c>
      <c r="AB44" s="76" t="s">
        <v>24</v>
      </c>
      <c r="AC44" s="56">
        <f>IF('Ship Data Imperial'!E45&gt;0,'Ship Data Imperial'!E45,AS44)</f>
        <v>0</v>
      </c>
      <c r="AD44" s="56">
        <f>IF('Ship Data Imperial'!F45&gt;0,'Ship Data Imperial'!F45,AS44)</f>
        <v>0</v>
      </c>
      <c r="AE44" s="56">
        <f>IF('Ship Data Imperial'!G45&gt;0,'Ship Data Imperial'!G45,AS44)</f>
        <v>0</v>
      </c>
      <c r="AF44" s="78"/>
      <c r="AG44" s="79">
        <f t="shared" si="28"/>
        <v>0</v>
      </c>
      <c r="AH44" s="80">
        <f t="shared" si="2"/>
        <v>0</v>
      </c>
      <c r="AI44" s="81">
        <f t="shared" si="29"/>
        <v>0</v>
      </c>
      <c r="AJ44" s="82">
        <f t="shared" si="4"/>
        <v>0</v>
      </c>
      <c r="AK44" s="83">
        <f t="shared" si="30"/>
        <v>0</v>
      </c>
      <c r="AL44" s="84">
        <f>IF(AC44&gt;0,Masts!$C$14*0.5,0)</f>
        <v>0</v>
      </c>
      <c r="AM44" s="85"/>
      <c r="AN44" s="86">
        <f t="shared" si="31"/>
        <v>0</v>
      </c>
      <c r="AO44" s="87"/>
      <c r="AP44" s="88">
        <f t="shared" si="32"/>
        <v>0</v>
      </c>
      <c r="AQ44" s="54"/>
      <c r="AR44" s="75" t="s">
        <v>36</v>
      </c>
      <c r="AS44" s="56">
        <f>'Ship Data Metric'!E45*0.03280839895</f>
        <v>0</v>
      </c>
      <c r="AT44" s="69">
        <f t="shared" ref="AT44:AT61" si="37">IF(AC44&gt;0,($AG$136/3)*4,0)</f>
        <v>0</v>
      </c>
      <c r="AU44" s="87">
        <f t="shared" ref="AU44:AU61" si="38">IF(AC44&gt;0,($AI$136/3)*4,0)</f>
        <v>0</v>
      </c>
      <c r="AV44" s="88">
        <f t="shared" si="10"/>
        <v>0</v>
      </c>
      <c r="AW44" s="80">
        <f t="shared" ref="AW44:AW91" si="39">IF(AC44&gt;0,($C$14/3)*0.666,0)</f>
        <v>0</v>
      </c>
      <c r="AX44" s="81">
        <f t="shared" ref="AX44:AX91" si="40">IF(AC44&gt;0,($C$10/3)*0.666,0)</f>
        <v>0</v>
      </c>
      <c r="AY44" s="88">
        <f t="shared" ref="AY44:AY91" si="41">IF(AC44&gt;0,($C$18/3)*0.666,0)</f>
        <v>0</v>
      </c>
    </row>
    <row r="45" ht="15.75" customHeight="1">
      <c r="A45" s="157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96"/>
      <c r="AB45" s="76" t="s">
        <v>25</v>
      </c>
      <c r="AC45" s="56">
        <f>IF('Ship Data Imperial'!E46&gt;0,'Ship Data Imperial'!E46,AS45)</f>
        <v>0</v>
      </c>
      <c r="AD45" s="56">
        <f>IF('Ship Data Imperial'!F46&gt;0,'Ship Data Imperial'!F46,AS45)</f>
        <v>0</v>
      </c>
      <c r="AE45" s="56">
        <f>IF('Ship Data Imperial'!G46&gt;0,'Ship Data Imperial'!G46,AS45)</f>
        <v>0</v>
      </c>
      <c r="AF45" s="78"/>
      <c r="AG45" s="79">
        <f t="shared" si="28"/>
        <v>0</v>
      </c>
      <c r="AH45" s="80">
        <f t="shared" si="2"/>
        <v>0</v>
      </c>
      <c r="AI45" s="81">
        <f t="shared" si="29"/>
        <v>0</v>
      </c>
      <c r="AJ45" s="82">
        <f t="shared" si="4"/>
        <v>0</v>
      </c>
      <c r="AK45" s="83">
        <f t="shared" si="30"/>
        <v>0</v>
      </c>
      <c r="AL45" s="84">
        <f>IF(AC45&gt;0,Masts!$C$14*0.5,0)</f>
        <v>0</v>
      </c>
      <c r="AM45" s="85"/>
      <c r="AN45" s="86">
        <f t="shared" si="31"/>
        <v>0</v>
      </c>
      <c r="AO45" s="87"/>
      <c r="AP45" s="88">
        <f t="shared" si="32"/>
        <v>0</v>
      </c>
      <c r="AQ45" s="54"/>
      <c r="AR45" s="96"/>
      <c r="AS45" s="56">
        <f>'Ship Data Metric'!E46*0.03280839895</f>
        <v>0</v>
      </c>
      <c r="AT45" s="69">
        <f t="shared" si="37"/>
        <v>0</v>
      </c>
      <c r="AU45" s="87">
        <f t="shared" si="38"/>
        <v>0</v>
      </c>
      <c r="AV45" s="88">
        <f t="shared" si="10"/>
        <v>0</v>
      </c>
      <c r="AW45" s="80">
        <f t="shared" si="39"/>
        <v>0</v>
      </c>
      <c r="AX45" s="81">
        <f t="shared" si="40"/>
        <v>0</v>
      </c>
      <c r="AY45" s="88">
        <f t="shared" si="41"/>
        <v>0</v>
      </c>
    </row>
    <row r="46" ht="15.75" customHeight="1">
      <c r="A46" s="157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96"/>
      <c r="AB46" s="76" t="s">
        <v>26</v>
      </c>
      <c r="AC46" s="56">
        <f>IF('Ship Data Imperial'!E47&gt;0,'Ship Data Imperial'!E47,AS46)</f>
        <v>0</v>
      </c>
      <c r="AD46" s="56">
        <f>IF('Ship Data Imperial'!F47&gt;0,'Ship Data Imperial'!F47,AS46)</f>
        <v>0</v>
      </c>
      <c r="AE46" s="56">
        <f>IF('Ship Data Imperial'!G47&gt;0,'Ship Data Imperial'!G47,AS46)</f>
        <v>0</v>
      </c>
      <c r="AF46" s="78"/>
      <c r="AG46" s="79">
        <f t="shared" si="28"/>
        <v>0</v>
      </c>
      <c r="AH46" s="80">
        <f t="shared" si="2"/>
        <v>0</v>
      </c>
      <c r="AI46" s="81">
        <f t="shared" si="29"/>
        <v>0</v>
      </c>
      <c r="AJ46" s="82">
        <f t="shared" si="4"/>
        <v>0</v>
      </c>
      <c r="AK46" s="83">
        <f t="shared" si="30"/>
        <v>0</v>
      </c>
      <c r="AL46" s="84">
        <f>IF(AC46&gt;0,Masts!$C$14*0.5,0)</f>
        <v>0</v>
      </c>
      <c r="AM46" s="85"/>
      <c r="AN46" s="86">
        <f t="shared" si="31"/>
        <v>0</v>
      </c>
      <c r="AO46" s="87"/>
      <c r="AP46" s="88">
        <f t="shared" si="32"/>
        <v>0</v>
      </c>
      <c r="AQ46" s="54"/>
      <c r="AR46" s="96"/>
      <c r="AS46" s="56">
        <f>'Ship Data Metric'!E47*0.03280839895</f>
        <v>0</v>
      </c>
      <c r="AT46" s="69">
        <f t="shared" si="37"/>
        <v>0</v>
      </c>
      <c r="AU46" s="87">
        <f t="shared" si="38"/>
        <v>0</v>
      </c>
      <c r="AV46" s="88">
        <f t="shared" si="10"/>
        <v>0</v>
      </c>
      <c r="AW46" s="80">
        <f t="shared" si="39"/>
        <v>0</v>
      </c>
      <c r="AX46" s="81">
        <f t="shared" si="40"/>
        <v>0</v>
      </c>
      <c r="AY46" s="88">
        <f t="shared" si="41"/>
        <v>0</v>
      </c>
    </row>
    <row r="47" ht="15.75" customHeight="1">
      <c r="A47" s="157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96"/>
      <c r="AB47" s="76" t="s">
        <v>27</v>
      </c>
      <c r="AC47" s="56">
        <f>IF('Ship Data Imperial'!E48&gt;0,'Ship Data Imperial'!E48,AS47)</f>
        <v>0</v>
      </c>
      <c r="AD47" s="56">
        <f>IF('Ship Data Imperial'!F48&gt;0,'Ship Data Imperial'!F48,AS47)</f>
        <v>0</v>
      </c>
      <c r="AE47" s="56">
        <f>IF('Ship Data Imperial'!G48&gt;0,'Ship Data Imperial'!G48,AS47)</f>
        <v>0</v>
      </c>
      <c r="AF47" s="78"/>
      <c r="AG47" s="79">
        <f t="shared" si="28"/>
        <v>0</v>
      </c>
      <c r="AH47" s="80">
        <f t="shared" si="2"/>
        <v>0</v>
      </c>
      <c r="AI47" s="81">
        <f t="shared" si="29"/>
        <v>0</v>
      </c>
      <c r="AJ47" s="82">
        <f t="shared" si="4"/>
        <v>0</v>
      </c>
      <c r="AK47" s="83">
        <f t="shared" si="30"/>
        <v>0</v>
      </c>
      <c r="AL47" s="84">
        <f>IF(AC47&gt;0,Masts!$C$14*0.5,0)</f>
        <v>0</v>
      </c>
      <c r="AM47" s="85"/>
      <c r="AN47" s="86">
        <f t="shared" si="31"/>
        <v>0</v>
      </c>
      <c r="AO47" s="87"/>
      <c r="AP47" s="88">
        <f t="shared" si="32"/>
        <v>0</v>
      </c>
      <c r="AQ47" s="54"/>
      <c r="AR47" s="96"/>
      <c r="AS47" s="56">
        <f>'Ship Data Metric'!E48*0.03280839895</f>
        <v>0</v>
      </c>
      <c r="AT47" s="69">
        <f t="shared" si="37"/>
        <v>0</v>
      </c>
      <c r="AU47" s="87">
        <f t="shared" si="38"/>
        <v>0</v>
      </c>
      <c r="AV47" s="88">
        <f t="shared" si="10"/>
        <v>0</v>
      </c>
      <c r="AW47" s="80">
        <f t="shared" si="39"/>
        <v>0</v>
      </c>
      <c r="AX47" s="81">
        <f t="shared" si="40"/>
        <v>0</v>
      </c>
      <c r="AY47" s="88">
        <f t="shared" si="41"/>
        <v>0</v>
      </c>
    </row>
    <row r="48" ht="15.75" customHeight="1">
      <c r="A48" s="157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96"/>
      <c r="AB48" s="76" t="s">
        <v>28</v>
      </c>
      <c r="AC48" s="56">
        <f>IF('Ship Data Imperial'!E49&gt;0,'Ship Data Imperial'!E49,AS48)</f>
        <v>0</v>
      </c>
      <c r="AD48" s="56">
        <f>IF('Ship Data Imperial'!F49&gt;0,'Ship Data Imperial'!F49,AS48)</f>
        <v>0</v>
      </c>
      <c r="AE48" s="56">
        <f>IF('Ship Data Imperial'!G49&gt;0,'Ship Data Imperial'!G49,AS48)</f>
        <v>0</v>
      </c>
      <c r="AF48" s="78"/>
      <c r="AG48" s="79">
        <f t="shared" si="28"/>
        <v>0</v>
      </c>
      <c r="AH48" s="80">
        <f t="shared" si="2"/>
        <v>0</v>
      </c>
      <c r="AI48" s="81">
        <f t="shared" si="29"/>
        <v>0</v>
      </c>
      <c r="AJ48" s="82">
        <f t="shared" si="4"/>
        <v>0</v>
      </c>
      <c r="AK48" s="83">
        <f t="shared" si="30"/>
        <v>0</v>
      </c>
      <c r="AL48" s="84">
        <f>IF(AC48&gt;0,Masts!$C$14*0.5,0)</f>
        <v>0</v>
      </c>
      <c r="AM48" s="85"/>
      <c r="AN48" s="86">
        <f t="shared" si="31"/>
        <v>0</v>
      </c>
      <c r="AO48" s="87"/>
      <c r="AP48" s="88">
        <f t="shared" si="32"/>
        <v>0</v>
      </c>
      <c r="AQ48" s="54"/>
      <c r="AR48" s="96"/>
      <c r="AS48" s="56">
        <f>'Ship Data Metric'!E49*0.03280839895</f>
        <v>0</v>
      </c>
      <c r="AT48" s="69">
        <f t="shared" si="37"/>
        <v>0</v>
      </c>
      <c r="AU48" s="87">
        <f t="shared" si="38"/>
        <v>0</v>
      </c>
      <c r="AV48" s="88">
        <f t="shared" si="10"/>
        <v>0</v>
      </c>
      <c r="AW48" s="80">
        <f t="shared" si="39"/>
        <v>0</v>
      </c>
      <c r="AX48" s="81">
        <f t="shared" si="40"/>
        <v>0</v>
      </c>
      <c r="AY48" s="88">
        <f t="shared" si="41"/>
        <v>0</v>
      </c>
    </row>
    <row r="49" ht="15.75" customHeight="1">
      <c r="A49" s="157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96"/>
      <c r="AB49" s="76" t="s">
        <v>29</v>
      </c>
      <c r="AC49" s="56">
        <f>IF('Ship Data Imperial'!E50&gt;0,'Ship Data Imperial'!E50,AS49)</f>
        <v>0</v>
      </c>
      <c r="AD49" s="56">
        <f>IF('Ship Data Imperial'!F50&gt;0,'Ship Data Imperial'!F50,AS49)</f>
        <v>0</v>
      </c>
      <c r="AE49" s="56">
        <f>IF('Ship Data Imperial'!G50&gt;0,'Ship Data Imperial'!G50,AS49)</f>
        <v>0</v>
      </c>
      <c r="AF49" s="78"/>
      <c r="AG49" s="79">
        <f t="shared" si="28"/>
        <v>0</v>
      </c>
      <c r="AH49" s="80">
        <f t="shared" si="2"/>
        <v>0</v>
      </c>
      <c r="AI49" s="81">
        <f t="shared" si="29"/>
        <v>0</v>
      </c>
      <c r="AJ49" s="82">
        <f t="shared" si="4"/>
        <v>0</v>
      </c>
      <c r="AK49" s="83">
        <f t="shared" si="30"/>
        <v>0</v>
      </c>
      <c r="AL49" s="84">
        <f>IF(AC49&gt;0,Masts!$C$14*0.5,0)</f>
        <v>0</v>
      </c>
      <c r="AM49" s="85"/>
      <c r="AN49" s="86">
        <f t="shared" si="31"/>
        <v>0</v>
      </c>
      <c r="AO49" s="87"/>
      <c r="AP49" s="88">
        <f t="shared" si="32"/>
        <v>0</v>
      </c>
      <c r="AQ49" s="54"/>
      <c r="AR49" s="96"/>
      <c r="AS49" s="56">
        <f>'Ship Data Metric'!E50*0.03280839895</f>
        <v>0</v>
      </c>
      <c r="AT49" s="69">
        <f t="shared" si="37"/>
        <v>0</v>
      </c>
      <c r="AU49" s="87">
        <f t="shared" si="38"/>
        <v>0</v>
      </c>
      <c r="AV49" s="88">
        <f t="shared" si="10"/>
        <v>0</v>
      </c>
      <c r="AW49" s="80">
        <f t="shared" si="39"/>
        <v>0</v>
      </c>
      <c r="AX49" s="81">
        <f t="shared" si="40"/>
        <v>0</v>
      </c>
      <c r="AY49" s="88">
        <f t="shared" si="41"/>
        <v>0</v>
      </c>
    </row>
    <row r="50" ht="15.75" customHeight="1">
      <c r="A50" s="157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96" t="s">
        <v>37</v>
      </c>
      <c r="AB50" s="76" t="s">
        <v>24</v>
      </c>
      <c r="AC50" s="56">
        <f>IF('Ship Data Imperial'!E51&gt;0,'Ship Data Imperial'!E51,AS50)</f>
        <v>0</v>
      </c>
      <c r="AD50" s="56">
        <f>IF('Ship Data Imperial'!F51&gt;0,'Ship Data Imperial'!F51,AS50)</f>
        <v>0</v>
      </c>
      <c r="AE50" s="56">
        <f>IF('Ship Data Imperial'!G51&gt;0,'Ship Data Imperial'!G51,AS50)</f>
        <v>0</v>
      </c>
      <c r="AF50" s="78"/>
      <c r="AG50" s="79">
        <f t="shared" si="28"/>
        <v>0</v>
      </c>
      <c r="AH50" s="80">
        <f t="shared" si="2"/>
        <v>0</v>
      </c>
      <c r="AI50" s="81">
        <f t="shared" si="29"/>
        <v>0</v>
      </c>
      <c r="AJ50" s="82">
        <f t="shared" si="4"/>
        <v>0</v>
      </c>
      <c r="AK50" s="83">
        <f t="shared" si="30"/>
        <v>0</v>
      </c>
      <c r="AL50" s="84">
        <f>IF(AC50&gt;0,Masts!$C$14*0.5,0)</f>
        <v>0</v>
      </c>
      <c r="AM50" s="85"/>
      <c r="AN50" s="86">
        <f t="shared" si="31"/>
        <v>0</v>
      </c>
      <c r="AO50" s="87"/>
      <c r="AP50" s="88">
        <f t="shared" si="32"/>
        <v>0</v>
      </c>
      <c r="AQ50" s="54"/>
      <c r="AR50" s="75" t="s">
        <v>37</v>
      </c>
      <c r="AS50" s="56">
        <f>'Ship Data Metric'!E51*0.03280839895</f>
        <v>0</v>
      </c>
      <c r="AT50" s="69">
        <f t="shared" si="37"/>
        <v>0</v>
      </c>
      <c r="AU50" s="87">
        <f t="shared" si="38"/>
        <v>0</v>
      </c>
      <c r="AV50" s="88">
        <f t="shared" si="10"/>
        <v>0</v>
      </c>
      <c r="AW50" s="80">
        <f t="shared" si="39"/>
        <v>0</v>
      </c>
      <c r="AX50" s="81">
        <f t="shared" si="40"/>
        <v>0</v>
      </c>
      <c r="AY50" s="88">
        <f t="shared" si="41"/>
        <v>0</v>
      </c>
    </row>
    <row r="51" ht="15.75" customHeight="1">
      <c r="A51" s="157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96"/>
      <c r="AB51" s="76" t="s">
        <v>25</v>
      </c>
      <c r="AC51" s="56">
        <f>IF('Ship Data Imperial'!E52&gt;0,'Ship Data Imperial'!E52,AS51)</f>
        <v>0</v>
      </c>
      <c r="AD51" s="56">
        <f>IF('Ship Data Imperial'!F52&gt;0,'Ship Data Imperial'!F52,AS51)</f>
        <v>0</v>
      </c>
      <c r="AE51" s="56">
        <f>IF('Ship Data Imperial'!G52&gt;0,'Ship Data Imperial'!G52,AS51)</f>
        <v>0</v>
      </c>
      <c r="AF51" s="78"/>
      <c r="AG51" s="79">
        <f t="shared" si="28"/>
        <v>0</v>
      </c>
      <c r="AH51" s="80">
        <f t="shared" si="2"/>
        <v>0</v>
      </c>
      <c r="AI51" s="81">
        <f t="shared" si="29"/>
        <v>0</v>
      </c>
      <c r="AJ51" s="82">
        <f t="shared" si="4"/>
        <v>0</v>
      </c>
      <c r="AK51" s="83">
        <f t="shared" si="30"/>
        <v>0</v>
      </c>
      <c r="AL51" s="84">
        <f>IF(AC51&gt;0,Masts!$C$14*0.5,0)</f>
        <v>0</v>
      </c>
      <c r="AM51" s="85"/>
      <c r="AN51" s="86">
        <f t="shared" si="31"/>
        <v>0</v>
      </c>
      <c r="AO51" s="87"/>
      <c r="AP51" s="88">
        <f t="shared" si="32"/>
        <v>0</v>
      </c>
      <c r="AQ51" s="54"/>
      <c r="AR51" s="96"/>
      <c r="AS51" s="56">
        <f>'Ship Data Metric'!E52*0.03280839895</f>
        <v>0</v>
      </c>
      <c r="AT51" s="69">
        <f t="shared" si="37"/>
        <v>0</v>
      </c>
      <c r="AU51" s="87">
        <f t="shared" si="38"/>
        <v>0</v>
      </c>
      <c r="AV51" s="88">
        <f t="shared" si="10"/>
        <v>0</v>
      </c>
      <c r="AW51" s="80">
        <f t="shared" si="39"/>
        <v>0</v>
      </c>
      <c r="AX51" s="81">
        <f t="shared" si="40"/>
        <v>0</v>
      </c>
      <c r="AY51" s="88">
        <f t="shared" si="41"/>
        <v>0</v>
      </c>
    </row>
    <row r="52" ht="15.75" customHeight="1">
      <c r="A52" s="157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96"/>
      <c r="AB52" s="76" t="s">
        <v>26</v>
      </c>
      <c r="AC52" s="56">
        <f>IF('Ship Data Imperial'!E53&gt;0,'Ship Data Imperial'!E53,AS52)</f>
        <v>0</v>
      </c>
      <c r="AD52" s="56">
        <f>IF('Ship Data Imperial'!F53&gt;0,'Ship Data Imperial'!F53,AS52)</f>
        <v>0</v>
      </c>
      <c r="AE52" s="56">
        <f>IF('Ship Data Imperial'!G53&gt;0,'Ship Data Imperial'!G53,AS52)</f>
        <v>0</v>
      </c>
      <c r="AF52" s="78"/>
      <c r="AG52" s="79">
        <f t="shared" si="28"/>
        <v>0</v>
      </c>
      <c r="AH52" s="80">
        <f t="shared" si="2"/>
        <v>0</v>
      </c>
      <c r="AI52" s="81">
        <f t="shared" si="29"/>
        <v>0</v>
      </c>
      <c r="AJ52" s="82">
        <f t="shared" si="4"/>
        <v>0</v>
      </c>
      <c r="AK52" s="83">
        <f t="shared" si="30"/>
        <v>0</v>
      </c>
      <c r="AL52" s="84">
        <f>IF(AC52&gt;0,Masts!$C$14*0.5,0)</f>
        <v>0</v>
      </c>
      <c r="AM52" s="85"/>
      <c r="AN52" s="86">
        <f t="shared" si="31"/>
        <v>0</v>
      </c>
      <c r="AO52" s="87"/>
      <c r="AP52" s="88">
        <f t="shared" si="32"/>
        <v>0</v>
      </c>
      <c r="AQ52" s="54"/>
      <c r="AR52" s="96"/>
      <c r="AS52" s="56">
        <f>'Ship Data Metric'!E53*0.03280839895</f>
        <v>0</v>
      </c>
      <c r="AT52" s="69">
        <f t="shared" si="37"/>
        <v>0</v>
      </c>
      <c r="AU52" s="87">
        <f t="shared" si="38"/>
        <v>0</v>
      </c>
      <c r="AV52" s="88">
        <f t="shared" si="10"/>
        <v>0</v>
      </c>
      <c r="AW52" s="80">
        <f t="shared" si="39"/>
        <v>0</v>
      </c>
      <c r="AX52" s="81">
        <f t="shared" si="40"/>
        <v>0</v>
      </c>
      <c r="AY52" s="88">
        <f t="shared" si="41"/>
        <v>0</v>
      </c>
    </row>
    <row r="53" ht="15.75" customHeight="1">
      <c r="A53" s="157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96"/>
      <c r="AB53" s="76" t="s">
        <v>27</v>
      </c>
      <c r="AC53" s="56">
        <f>IF('Ship Data Imperial'!E54&gt;0,'Ship Data Imperial'!E54,AS53)</f>
        <v>0</v>
      </c>
      <c r="AD53" s="56">
        <f>IF('Ship Data Imperial'!F54&gt;0,'Ship Data Imperial'!F54,AS53)</f>
        <v>0</v>
      </c>
      <c r="AE53" s="56">
        <f>IF('Ship Data Imperial'!G54&gt;0,'Ship Data Imperial'!G54,AS53)</f>
        <v>0</v>
      </c>
      <c r="AF53" s="78"/>
      <c r="AG53" s="79">
        <f t="shared" si="28"/>
        <v>0</v>
      </c>
      <c r="AH53" s="80">
        <f t="shared" si="2"/>
        <v>0</v>
      </c>
      <c r="AI53" s="81">
        <f t="shared" si="29"/>
        <v>0</v>
      </c>
      <c r="AJ53" s="82">
        <f t="shared" si="4"/>
        <v>0</v>
      </c>
      <c r="AK53" s="83">
        <f t="shared" si="30"/>
        <v>0</v>
      </c>
      <c r="AL53" s="84">
        <f>IF(AC53&gt;0,Masts!$C$14*0.5,0)</f>
        <v>0</v>
      </c>
      <c r="AM53" s="85"/>
      <c r="AN53" s="86">
        <f t="shared" si="31"/>
        <v>0</v>
      </c>
      <c r="AO53" s="87"/>
      <c r="AP53" s="88">
        <f t="shared" si="32"/>
        <v>0</v>
      </c>
      <c r="AQ53" s="54"/>
      <c r="AR53" s="96"/>
      <c r="AS53" s="56">
        <f>'Ship Data Metric'!E54*0.03280839895</f>
        <v>0</v>
      </c>
      <c r="AT53" s="69">
        <f t="shared" si="37"/>
        <v>0</v>
      </c>
      <c r="AU53" s="87">
        <f t="shared" si="38"/>
        <v>0</v>
      </c>
      <c r="AV53" s="88">
        <f t="shared" si="10"/>
        <v>0</v>
      </c>
      <c r="AW53" s="80">
        <f t="shared" si="39"/>
        <v>0</v>
      </c>
      <c r="AX53" s="81">
        <f t="shared" si="40"/>
        <v>0</v>
      </c>
      <c r="AY53" s="88">
        <f t="shared" si="41"/>
        <v>0</v>
      </c>
    </row>
    <row r="54" ht="15.75" customHeight="1">
      <c r="A54" s="157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96"/>
      <c r="AB54" s="76" t="s">
        <v>28</v>
      </c>
      <c r="AC54" s="56">
        <f>IF('Ship Data Imperial'!E55&gt;0,'Ship Data Imperial'!E55,AS54)</f>
        <v>0</v>
      </c>
      <c r="AD54" s="56">
        <f>IF('Ship Data Imperial'!F55&gt;0,'Ship Data Imperial'!F55,AS54)</f>
        <v>0</v>
      </c>
      <c r="AE54" s="56">
        <f>IF('Ship Data Imperial'!G55&gt;0,'Ship Data Imperial'!G55,AS54)</f>
        <v>0</v>
      </c>
      <c r="AF54" s="78"/>
      <c r="AG54" s="79">
        <f t="shared" si="28"/>
        <v>0</v>
      </c>
      <c r="AH54" s="80">
        <f t="shared" si="2"/>
        <v>0</v>
      </c>
      <c r="AI54" s="81">
        <f t="shared" si="29"/>
        <v>0</v>
      </c>
      <c r="AJ54" s="82">
        <f t="shared" si="4"/>
        <v>0</v>
      </c>
      <c r="AK54" s="83">
        <f t="shared" si="30"/>
        <v>0</v>
      </c>
      <c r="AL54" s="84">
        <f>IF(AC54&gt;0,Masts!$C$14*0.5,0)</f>
        <v>0</v>
      </c>
      <c r="AM54" s="85"/>
      <c r="AN54" s="86">
        <f t="shared" si="31"/>
        <v>0</v>
      </c>
      <c r="AO54" s="87"/>
      <c r="AP54" s="88">
        <f t="shared" si="32"/>
        <v>0</v>
      </c>
      <c r="AQ54" s="54"/>
      <c r="AR54" s="96"/>
      <c r="AS54" s="56">
        <f>'Ship Data Metric'!E55*0.03280839895</f>
        <v>0</v>
      </c>
      <c r="AT54" s="69">
        <f t="shared" si="37"/>
        <v>0</v>
      </c>
      <c r="AU54" s="87">
        <f t="shared" si="38"/>
        <v>0</v>
      </c>
      <c r="AV54" s="88">
        <f t="shared" si="10"/>
        <v>0</v>
      </c>
      <c r="AW54" s="80">
        <f t="shared" si="39"/>
        <v>0</v>
      </c>
      <c r="AX54" s="81">
        <f t="shared" si="40"/>
        <v>0</v>
      </c>
      <c r="AY54" s="88">
        <f t="shared" si="41"/>
        <v>0</v>
      </c>
    </row>
    <row r="55" ht="15.75" customHeight="1">
      <c r="A55" s="157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96"/>
      <c r="AB55" s="76" t="s">
        <v>29</v>
      </c>
      <c r="AC55" s="56">
        <f>IF('Ship Data Imperial'!E56&gt;0,'Ship Data Imperial'!E56,AS55)</f>
        <v>0</v>
      </c>
      <c r="AD55" s="56">
        <f>IF('Ship Data Imperial'!F56&gt;0,'Ship Data Imperial'!F56,AS55)</f>
        <v>0</v>
      </c>
      <c r="AE55" s="56">
        <f>IF('Ship Data Imperial'!G56&gt;0,'Ship Data Imperial'!G56,AS55)</f>
        <v>0</v>
      </c>
      <c r="AF55" s="78"/>
      <c r="AG55" s="79">
        <f t="shared" si="28"/>
        <v>0</v>
      </c>
      <c r="AH55" s="80">
        <f t="shared" si="2"/>
        <v>0</v>
      </c>
      <c r="AI55" s="81">
        <f t="shared" si="29"/>
        <v>0</v>
      </c>
      <c r="AJ55" s="82">
        <f t="shared" si="4"/>
        <v>0</v>
      </c>
      <c r="AK55" s="83">
        <f t="shared" si="30"/>
        <v>0</v>
      </c>
      <c r="AL55" s="84">
        <f>IF(AC55&gt;0,Masts!$C$14*0.5,0)</f>
        <v>0</v>
      </c>
      <c r="AM55" s="85"/>
      <c r="AN55" s="86">
        <f t="shared" si="31"/>
        <v>0</v>
      </c>
      <c r="AO55" s="87"/>
      <c r="AP55" s="88">
        <f t="shared" si="32"/>
        <v>0</v>
      </c>
      <c r="AQ55" s="54"/>
      <c r="AR55" s="96"/>
      <c r="AS55" s="56">
        <f>'Ship Data Metric'!E56*0.03280839895</f>
        <v>0</v>
      </c>
      <c r="AT55" s="69">
        <f t="shared" si="37"/>
        <v>0</v>
      </c>
      <c r="AU55" s="87">
        <f t="shared" si="38"/>
        <v>0</v>
      </c>
      <c r="AV55" s="88">
        <f t="shared" si="10"/>
        <v>0</v>
      </c>
      <c r="AW55" s="80">
        <f t="shared" si="39"/>
        <v>0</v>
      </c>
      <c r="AX55" s="81">
        <f t="shared" si="40"/>
        <v>0</v>
      </c>
      <c r="AY55" s="88">
        <f t="shared" si="41"/>
        <v>0</v>
      </c>
    </row>
    <row r="56" ht="15.75" customHeight="1">
      <c r="A56" s="157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75" t="s">
        <v>38</v>
      </c>
      <c r="AB56" s="76" t="s">
        <v>24</v>
      </c>
      <c r="AC56" s="56">
        <f>IF('Ship Data Imperial'!E57&gt;0,'Ship Data Imperial'!E57,AS56)</f>
        <v>0</v>
      </c>
      <c r="AD56" s="77"/>
      <c r="AE56" s="77"/>
      <c r="AF56" s="56">
        <f>IF('Ship Data Imperial'!H57&gt;0,'Ship Data Imperial'!H57,AS56)</f>
        <v>0</v>
      </c>
      <c r="AG56" s="79">
        <f t="shared" ref="AG56:AG61" si="42">(AC56+AF56)/2</f>
        <v>0</v>
      </c>
      <c r="AH56" s="80">
        <f t="shared" si="2"/>
        <v>0</v>
      </c>
      <c r="AI56" s="81">
        <f t="shared" si="29"/>
        <v>0</v>
      </c>
      <c r="AJ56" s="82">
        <f t="shared" si="4"/>
        <v>0</v>
      </c>
      <c r="AK56" s="83">
        <f t="shared" ref="AK56:AK61" si="43">IF(AC56&gt;0,$AG$136*0.86,0)</f>
        <v>0</v>
      </c>
      <c r="AL56" s="84">
        <f>IF(AC56&gt;0,Masts!$C$14*0.5,0)</f>
        <v>0</v>
      </c>
      <c r="AM56" s="85"/>
      <c r="AN56" s="86">
        <f t="shared" si="31"/>
        <v>0</v>
      </c>
      <c r="AO56" s="87"/>
      <c r="AP56" s="88">
        <f t="shared" ref="AP56:AP61" si="44">IF(AC56&gt;0,$AI$136*0.33,0)</f>
        <v>0</v>
      </c>
      <c r="AQ56" s="68"/>
      <c r="AR56" s="75" t="s">
        <v>38</v>
      </c>
      <c r="AS56" s="56">
        <f>'Ship Data Metric'!E57*0.03280839895</f>
        <v>0</v>
      </c>
      <c r="AT56" s="69">
        <f t="shared" si="37"/>
        <v>0</v>
      </c>
      <c r="AU56" s="87">
        <f t="shared" si="38"/>
        <v>0</v>
      </c>
      <c r="AV56" s="88">
        <f t="shared" si="10"/>
        <v>0</v>
      </c>
      <c r="AW56" s="80">
        <f t="shared" si="39"/>
        <v>0</v>
      </c>
      <c r="AX56" s="81">
        <f t="shared" si="40"/>
        <v>0</v>
      </c>
      <c r="AY56" s="88">
        <f t="shared" si="41"/>
        <v>0</v>
      </c>
    </row>
    <row r="57" ht="15.75" customHeight="1">
      <c r="A57" s="157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96"/>
      <c r="AB57" s="76" t="s">
        <v>25</v>
      </c>
      <c r="AC57" s="56">
        <f>IF('Ship Data Imperial'!E58&gt;0,'Ship Data Imperial'!E58,AS57)</f>
        <v>0</v>
      </c>
      <c r="AD57" s="77"/>
      <c r="AE57" s="77"/>
      <c r="AF57" s="56">
        <f>IF('Ship Data Imperial'!H58&gt;0,'Ship Data Imperial'!H58,AS57)</f>
        <v>0</v>
      </c>
      <c r="AG57" s="79">
        <f t="shared" si="42"/>
        <v>0</v>
      </c>
      <c r="AH57" s="80">
        <f t="shared" si="2"/>
        <v>0</v>
      </c>
      <c r="AI57" s="81">
        <f t="shared" si="29"/>
        <v>0</v>
      </c>
      <c r="AJ57" s="82">
        <f t="shared" si="4"/>
        <v>0</v>
      </c>
      <c r="AK57" s="83">
        <f t="shared" si="43"/>
        <v>0</v>
      </c>
      <c r="AL57" s="84">
        <f>IF(AC57&gt;0,Masts!$C$14*0.5,0)</f>
        <v>0</v>
      </c>
      <c r="AM57" s="85"/>
      <c r="AN57" s="86">
        <f t="shared" si="31"/>
        <v>0</v>
      </c>
      <c r="AO57" s="87"/>
      <c r="AP57" s="88">
        <f t="shared" si="44"/>
        <v>0</v>
      </c>
      <c r="AQ57" s="68"/>
      <c r="AR57" s="96"/>
      <c r="AS57" s="56">
        <f>'Ship Data Metric'!E58*0.03280839895</f>
        <v>0</v>
      </c>
      <c r="AT57" s="69">
        <f t="shared" si="37"/>
        <v>0</v>
      </c>
      <c r="AU57" s="87">
        <f t="shared" si="38"/>
        <v>0</v>
      </c>
      <c r="AV57" s="88">
        <f t="shared" si="10"/>
        <v>0</v>
      </c>
      <c r="AW57" s="80">
        <f t="shared" si="39"/>
        <v>0</v>
      </c>
      <c r="AX57" s="81">
        <f t="shared" si="40"/>
        <v>0</v>
      </c>
      <c r="AY57" s="88">
        <f t="shared" si="41"/>
        <v>0</v>
      </c>
    </row>
    <row r="58" ht="15.75" customHeight="1">
      <c r="A58" s="157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96"/>
      <c r="AB58" s="76" t="s">
        <v>26</v>
      </c>
      <c r="AC58" s="56">
        <f>IF('Ship Data Imperial'!E59&gt;0,'Ship Data Imperial'!E59,AS58)</f>
        <v>0</v>
      </c>
      <c r="AD58" s="77"/>
      <c r="AE58" s="77"/>
      <c r="AF58" s="56">
        <f>IF('Ship Data Imperial'!H59&gt;0,'Ship Data Imperial'!H59,AS58)</f>
        <v>0</v>
      </c>
      <c r="AG58" s="79">
        <f t="shared" si="42"/>
        <v>0</v>
      </c>
      <c r="AH58" s="80">
        <f t="shared" si="2"/>
        <v>0</v>
      </c>
      <c r="AI58" s="81">
        <f t="shared" si="29"/>
        <v>0</v>
      </c>
      <c r="AJ58" s="82">
        <f t="shared" si="4"/>
        <v>0</v>
      </c>
      <c r="AK58" s="83">
        <f t="shared" si="43"/>
        <v>0</v>
      </c>
      <c r="AL58" s="84">
        <f>IF(AC58&gt;0,Masts!$C$14*0.5,0)</f>
        <v>0</v>
      </c>
      <c r="AM58" s="85"/>
      <c r="AN58" s="86">
        <f t="shared" si="31"/>
        <v>0</v>
      </c>
      <c r="AO58" s="87"/>
      <c r="AP58" s="88">
        <f t="shared" si="44"/>
        <v>0</v>
      </c>
      <c r="AQ58" s="68"/>
      <c r="AR58" s="96"/>
      <c r="AS58" s="56">
        <f>'Ship Data Metric'!E59*0.03280839895</f>
        <v>0</v>
      </c>
      <c r="AT58" s="69">
        <f t="shared" si="37"/>
        <v>0</v>
      </c>
      <c r="AU58" s="87">
        <f t="shared" si="38"/>
        <v>0</v>
      </c>
      <c r="AV58" s="88">
        <f t="shared" si="10"/>
        <v>0</v>
      </c>
      <c r="AW58" s="80">
        <f t="shared" si="39"/>
        <v>0</v>
      </c>
      <c r="AX58" s="81">
        <f t="shared" si="40"/>
        <v>0</v>
      </c>
      <c r="AY58" s="88">
        <f t="shared" si="41"/>
        <v>0</v>
      </c>
    </row>
    <row r="59" ht="15.75" customHeight="1">
      <c r="A59" s="157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96"/>
      <c r="AB59" s="76" t="s">
        <v>27</v>
      </c>
      <c r="AC59" s="56">
        <f>IF('Ship Data Imperial'!E60&gt;0,'Ship Data Imperial'!E60,AS59)</f>
        <v>0</v>
      </c>
      <c r="AD59" s="77"/>
      <c r="AE59" s="77"/>
      <c r="AF59" s="56">
        <f>IF('Ship Data Imperial'!H60&gt;0,'Ship Data Imperial'!H60,AS59)</f>
        <v>0</v>
      </c>
      <c r="AG59" s="79">
        <f t="shared" si="42"/>
        <v>0</v>
      </c>
      <c r="AH59" s="80">
        <f t="shared" si="2"/>
        <v>0</v>
      </c>
      <c r="AI59" s="81">
        <f t="shared" si="29"/>
        <v>0</v>
      </c>
      <c r="AJ59" s="82">
        <f t="shared" si="4"/>
        <v>0</v>
      </c>
      <c r="AK59" s="83">
        <f t="shared" si="43"/>
        <v>0</v>
      </c>
      <c r="AL59" s="84">
        <f>IF(AC59&gt;0,Masts!$C$14*0.5,0)</f>
        <v>0</v>
      </c>
      <c r="AM59" s="85"/>
      <c r="AN59" s="86">
        <f t="shared" si="31"/>
        <v>0</v>
      </c>
      <c r="AO59" s="87"/>
      <c r="AP59" s="88">
        <f t="shared" si="44"/>
        <v>0</v>
      </c>
      <c r="AQ59" s="68"/>
      <c r="AR59" s="96"/>
      <c r="AS59" s="56">
        <f>'Ship Data Metric'!E60*0.03280839895</f>
        <v>0</v>
      </c>
      <c r="AT59" s="69">
        <f t="shared" si="37"/>
        <v>0</v>
      </c>
      <c r="AU59" s="87">
        <f t="shared" si="38"/>
        <v>0</v>
      </c>
      <c r="AV59" s="88">
        <f t="shared" si="10"/>
        <v>0</v>
      </c>
      <c r="AW59" s="80">
        <f t="shared" si="39"/>
        <v>0</v>
      </c>
      <c r="AX59" s="81">
        <f t="shared" si="40"/>
        <v>0</v>
      </c>
      <c r="AY59" s="88">
        <f t="shared" si="41"/>
        <v>0</v>
      </c>
    </row>
    <row r="60" ht="15.75" customHeight="1">
      <c r="A60" s="157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96"/>
      <c r="AB60" s="76" t="s">
        <v>28</v>
      </c>
      <c r="AC60" s="56">
        <f>IF('Ship Data Imperial'!E61&gt;0,'Ship Data Imperial'!E61,AS60)</f>
        <v>0</v>
      </c>
      <c r="AD60" s="77"/>
      <c r="AE60" s="77"/>
      <c r="AF60" s="56">
        <f>IF('Ship Data Imperial'!H61&gt;0,'Ship Data Imperial'!H61,AS60)</f>
        <v>0</v>
      </c>
      <c r="AG60" s="79">
        <f t="shared" si="42"/>
        <v>0</v>
      </c>
      <c r="AH60" s="80">
        <f t="shared" si="2"/>
        <v>0</v>
      </c>
      <c r="AI60" s="81">
        <f t="shared" si="29"/>
        <v>0</v>
      </c>
      <c r="AJ60" s="82">
        <f t="shared" si="4"/>
        <v>0</v>
      </c>
      <c r="AK60" s="83">
        <f t="shared" si="43"/>
        <v>0</v>
      </c>
      <c r="AL60" s="84">
        <f>IF(AC60&gt;0,Masts!$C$14*0.5,0)</f>
        <v>0</v>
      </c>
      <c r="AM60" s="85"/>
      <c r="AN60" s="86">
        <f t="shared" si="31"/>
        <v>0</v>
      </c>
      <c r="AO60" s="87"/>
      <c r="AP60" s="88">
        <f t="shared" si="44"/>
        <v>0</v>
      </c>
      <c r="AQ60" s="68"/>
      <c r="AR60" s="96"/>
      <c r="AS60" s="56">
        <f>'Ship Data Metric'!E61*0.03280839895</f>
        <v>0</v>
      </c>
      <c r="AT60" s="69">
        <f t="shared" si="37"/>
        <v>0</v>
      </c>
      <c r="AU60" s="87">
        <f t="shared" si="38"/>
        <v>0</v>
      </c>
      <c r="AV60" s="88">
        <f t="shared" si="10"/>
        <v>0</v>
      </c>
      <c r="AW60" s="80">
        <f t="shared" si="39"/>
        <v>0</v>
      </c>
      <c r="AX60" s="81">
        <f t="shared" si="40"/>
        <v>0</v>
      </c>
      <c r="AY60" s="88">
        <f t="shared" si="41"/>
        <v>0</v>
      </c>
    </row>
    <row r="61" ht="15.75" customHeight="1">
      <c r="A61" s="157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96"/>
      <c r="AB61" s="76" t="s">
        <v>29</v>
      </c>
      <c r="AC61" s="56">
        <f>IF('Ship Data Imperial'!E62&gt;0,'Ship Data Imperial'!E62,AS61)</f>
        <v>0</v>
      </c>
      <c r="AD61" s="77"/>
      <c r="AE61" s="77"/>
      <c r="AF61" s="56">
        <f>IF('Ship Data Imperial'!H62&gt;0,'Ship Data Imperial'!H62,AS61)</f>
        <v>0</v>
      </c>
      <c r="AG61" s="79">
        <f t="shared" si="42"/>
        <v>0</v>
      </c>
      <c r="AH61" s="80">
        <f t="shared" si="2"/>
        <v>0</v>
      </c>
      <c r="AI61" s="81">
        <f t="shared" si="29"/>
        <v>0</v>
      </c>
      <c r="AJ61" s="82">
        <f t="shared" si="4"/>
        <v>0</v>
      </c>
      <c r="AK61" s="83">
        <f t="shared" si="43"/>
        <v>0</v>
      </c>
      <c r="AL61" s="84">
        <f>IF(AC61&gt;0,Masts!$C$14*0.5,0)</f>
        <v>0</v>
      </c>
      <c r="AM61" s="85"/>
      <c r="AN61" s="86">
        <f t="shared" si="31"/>
        <v>0</v>
      </c>
      <c r="AO61" s="87"/>
      <c r="AP61" s="88">
        <f t="shared" si="44"/>
        <v>0</v>
      </c>
      <c r="AQ61" s="68"/>
      <c r="AR61" s="96"/>
      <c r="AS61" s="56">
        <f>'Ship Data Metric'!E62*0.03280839895</f>
        <v>0</v>
      </c>
      <c r="AT61" s="69">
        <f t="shared" si="37"/>
        <v>0</v>
      </c>
      <c r="AU61" s="87">
        <f t="shared" si="38"/>
        <v>0</v>
      </c>
      <c r="AV61" s="88">
        <f t="shared" si="10"/>
        <v>0</v>
      </c>
      <c r="AW61" s="80">
        <f t="shared" si="39"/>
        <v>0</v>
      </c>
      <c r="AX61" s="81">
        <f t="shared" si="40"/>
        <v>0</v>
      </c>
      <c r="AY61" s="88">
        <f t="shared" si="41"/>
        <v>0</v>
      </c>
    </row>
    <row r="62" ht="15.75" customHeight="1">
      <c r="A62" s="157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75" t="s">
        <v>39</v>
      </c>
      <c r="AB62" s="76" t="s">
        <v>24</v>
      </c>
      <c r="AC62" s="56">
        <f>IF('Ship Data Imperial'!E63&gt;0,'Ship Data Imperial'!E63,AS62)</f>
        <v>0</v>
      </c>
      <c r="AD62" s="77"/>
      <c r="AE62" s="77"/>
      <c r="AF62" s="78"/>
      <c r="AG62" s="79">
        <f t="shared" ref="AG62:AG64" si="45">AC62*2.28</f>
        <v>0</v>
      </c>
      <c r="AH62" s="80">
        <f t="shared" ref="AH62:AH91" si="46">IF(AC62&gt;0,$AG$136*0.49,0)</f>
        <v>0</v>
      </c>
      <c r="AI62" s="81">
        <f t="shared" si="29"/>
        <v>0</v>
      </c>
      <c r="AJ62" s="82">
        <f t="shared" ref="AJ62:AJ91" si="47">IF(AC62&gt;0,$AI$136*0.49,0)</f>
        <v>0</v>
      </c>
      <c r="AK62" s="83">
        <f t="shared" ref="AK62:AK69" si="48">IF(AC62&gt;0,$AG$136*0.85,0)</f>
        <v>0</v>
      </c>
      <c r="AL62" s="84">
        <f>IF(AC62&gt;0,Masts!$C$14*0.7,0)</f>
        <v>0</v>
      </c>
      <c r="AM62" s="85"/>
      <c r="AN62" s="86">
        <f t="shared" ref="AN62:AN64" si="49">IF(AC62&gt;0,$AG$136*0.6,0)</f>
        <v>0</v>
      </c>
      <c r="AO62" s="87">
        <f t="shared" ref="AO62:AO79" si="50">IF(AC62&gt;0,AC62-6,0)</f>
        <v>0</v>
      </c>
      <c r="AP62" s="88">
        <f t="shared" ref="AP62:AP79" si="51">IF(AC62&gt;0,$AN$136*0.375,0)</f>
        <v>0</v>
      </c>
      <c r="AQ62" s="68"/>
      <c r="AR62" s="75" t="s">
        <v>39</v>
      </c>
      <c r="AS62" s="56">
        <f>'Ship Data Metric'!E63*0.03280839895</f>
        <v>0</v>
      </c>
      <c r="AT62" s="69">
        <f t="shared" ref="AT62:AT128" si="52">IF(AC62&gt;0,($AG$136/3)*5,0)</f>
        <v>0</v>
      </c>
      <c r="AU62" s="87">
        <f t="shared" ref="AU62:AU87" si="53">IF(AC62&gt;0,($AI$136/3)*4.5,0)</f>
        <v>0</v>
      </c>
      <c r="AV62" s="88">
        <f t="shared" si="10"/>
        <v>0</v>
      </c>
      <c r="AW62" s="80">
        <f t="shared" si="39"/>
        <v>0</v>
      </c>
      <c r="AX62" s="81">
        <f t="shared" si="40"/>
        <v>0</v>
      </c>
      <c r="AY62" s="88">
        <f t="shared" si="41"/>
        <v>0</v>
      </c>
    </row>
    <row r="63" ht="15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75"/>
      <c r="AB63" s="76" t="s">
        <v>25</v>
      </c>
      <c r="AC63" s="56">
        <f>IF('Ship Data Imperial'!E64&gt;0,'Ship Data Imperial'!E64,AS63)</f>
        <v>0</v>
      </c>
      <c r="AD63" s="77"/>
      <c r="AE63" s="77"/>
      <c r="AF63" s="78"/>
      <c r="AG63" s="79">
        <f t="shared" si="45"/>
        <v>0</v>
      </c>
      <c r="AH63" s="80">
        <f t="shared" si="46"/>
        <v>0</v>
      </c>
      <c r="AI63" s="81">
        <f t="shared" si="29"/>
        <v>0</v>
      </c>
      <c r="AJ63" s="82">
        <f t="shared" si="47"/>
        <v>0</v>
      </c>
      <c r="AK63" s="83">
        <f t="shared" si="48"/>
        <v>0</v>
      </c>
      <c r="AL63" s="84">
        <f>IF(AC63&gt;0,Masts!$C$14*0.7,0)</f>
        <v>0</v>
      </c>
      <c r="AM63" s="85"/>
      <c r="AN63" s="86">
        <f t="shared" si="49"/>
        <v>0</v>
      </c>
      <c r="AO63" s="87">
        <f t="shared" si="50"/>
        <v>0</v>
      </c>
      <c r="AP63" s="88">
        <f t="shared" si="51"/>
        <v>0</v>
      </c>
      <c r="AQ63" s="68"/>
      <c r="AR63" s="75"/>
      <c r="AS63" s="56">
        <f>'Ship Data Metric'!E64*0.03280839895</f>
        <v>0</v>
      </c>
      <c r="AT63" s="69">
        <f t="shared" si="52"/>
        <v>0</v>
      </c>
      <c r="AU63" s="87">
        <f t="shared" si="53"/>
        <v>0</v>
      </c>
      <c r="AV63" s="88">
        <f t="shared" si="10"/>
        <v>0</v>
      </c>
      <c r="AW63" s="80">
        <f t="shared" si="39"/>
        <v>0</v>
      </c>
      <c r="AX63" s="81">
        <f t="shared" si="40"/>
        <v>0</v>
      </c>
      <c r="AY63" s="88">
        <f t="shared" si="41"/>
        <v>0</v>
      </c>
    </row>
    <row r="64" ht="15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75"/>
      <c r="AB64" s="158" t="s">
        <v>40</v>
      </c>
      <c r="AC64" s="56">
        <f>IF('Ship Data Imperial'!E65&gt;0,'Ship Data Imperial'!E65,AS64)</f>
        <v>0</v>
      </c>
      <c r="AD64" s="77"/>
      <c r="AE64" s="77"/>
      <c r="AF64" s="78"/>
      <c r="AG64" s="79">
        <f t="shared" si="45"/>
        <v>0</v>
      </c>
      <c r="AH64" s="80">
        <f t="shared" si="46"/>
        <v>0</v>
      </c>
      <c r="AI64" s="81">
        <f t="shared" si="29"/>
        <v>0</v>
      </c>
      <c r="AJ64" s="82">
        <f t="shared" si="47"/>
        <v>0</v>
      </c>
      <c r="AK64" s="83">
        <f t="shared" si="48"/>
        <v>0</v>
      </c>
      <c r="AL64" s="84">
        <f>IF(AC64&gt;0,Masts!$C$14*0.7,0)</f>
        <v>0</v>
      </c>
      <c r="AM64" s="85"/>
      <c r="AN64" s="86">
        <f t="shared" si="49"/>
        <v>0</v>
      </c>
      <c r="AO64" s="87">
        <f t="shared" si="50"/>
        <v>0</v>
      </c>
      <c r="AP64" s="88">
        <f t="shared" si="51"/>
        <v>0</v>
      </c>
      <c r="AQ64" s="68"/>
      <c r="AR64" s="75"/>
      <c r="AS64" s="56">
        <f>'Ship Data Metric'!E65*0.03280839895</f>
        <v>0</v>
      </c>
      <c r="AT64" s="69">
        <f t="shared" si="52"/>
        <v>0</v>
      </c>
      <c r="AU64" s="87">
        <f t="shared" si="53"/>
        <v>0</v>
      </c>
      <c r="AV64" s="88">
        <f t="shared" si="10"/>
        <v>0</v>
      </c>
      <c r="AW64" s="80">
        <f t="shared" si="39"/>
        <v>0</v>
      </c>
      <c r="AX64" s="81">
        <f t="shared" si="40"/>
        <v>0</v>
      </c>
      <c r="AY64" s="88">
        <f t="shared" si="41"/>
        <v>0</v>
      </c>
    </row>
    <row r="65" ht="15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75"/>
      <c r="AB65" s="158" t="s">
        <v>41</v>
      </c>
      <c r="AC65" s="56">
        <f>IF('Ship Data Imperial'!E66&gt;0,'Ship Data Imperial'!E66,AS65)</f>
        <v>0</v>
      </c>
      <c r="AD65" s="77"/>
      <c r="AE65" s="77"/>
      <c r="AF65" s="78"/>
      <c r="AG65" s="79">
        <f>AC65*2.32</f>
        <v>0</v>
      </c>
      <c r="AH65" s="80">
        <f t="shared" si="46"/>
        <v>0</v>
      </c>
      <c r="AI65" s="81">
        <f t="shared" si="29"/>
        <v>0</v>
      </c>
      <c r="AJ65" s="82">
        <f t="shared" si="47"/>
        <v>0</v>
      </c>
      <c r="AK65" s="83">
        <f t="shared" si="48"/>
        <v>0</v>
      </c>
      <c r="AL65" s="84">
        <f>IF(AC65&gt;0,Masts!$C$14*0.7,0)</f>
        <v>0</v>
      </c>
      <c r="AM65" s="85"/>
      <c r="AN65" s="86">
        <f t="shared" ref="AN65:AN70" si="54">IF(AC65&gt;0,$AG$136*0.59,0)</f>
        <v>0</v>
      </c>
      <c r="AO65" s="87">
        <f t="shared" si="50"/>
        <v>0</v>
      </c>
      <c r="AP65" s="88">
        <f t="shared" si="51"/>
        <v>0</v>
      </c>
      <c r="AQ65" s="68"/>
      <c r="AR65" s="75"/>
      <c r="AS65" s="56">
        <f>'Ship Data Metric'!E66*0.03280839895</f>
        <v>0</v>
      </c>
      <c r="AT65" s="69">
        <f t="shared" si="52"/>
        <v>0</v>
      </c>
      <c r="AU65" s="87">
        <f t="shared" si="53"/>
        <v>0</v>
      </c>
      <c r="AV65" s="88">
        <f t="shared" si="10"/>
        <v>0</v>
      </c>
      <c r="AW65" s="80">
        <f t="shared" si="39"/>
        <v>0</v>
      </c>
      <c r="AX65" s="81">
        <f t="shared" si="40"/>
        <v>0</v>
      </c>
      <c r="AY65" s="88">
        <f t="shared" si="41"/>
        <v>0</v>
      </c>
    </row>
    <row r="66" ht="15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75"/>
      <c r="AB66" s="158" t="s">
        <v>42</v>
      </c>
      <c r="AC66" s="56">
        <f>IF('Ship Data Imperial'!E67&gt;0,'Ship Data Imperial'!E67,AS66)</f>
        <v>0</v>
      </c>
      <c r="AD66" s="77"/>
      <c r="AE66" s="77"/>
      <c r="AF66" s="78"/>
      <c r="AG66" s="79">
        <f>AC66*2.34</f>
        <v>0</v>
      </c>
      <c r="AH66" s="80">
        <f t="shared" si="46"/>
        <v>0</v>
      </c>
      <c r="AI66" s="81">
        <f t="shared" si="29"/>
        <v>0</v>
      </c>
      <c r="AJ66" s="82">
        <f t="shared" si="47"/>
        <v>0</v>
      </c>
      <c r="AK66" s="83">
        <f t="shared" si="48"/>
        <v>0</v>
      </c>
      <c r="AL66" s="84">
        <f>IF(AC66&gt;0,Masts!$C$14*0.7,0)</f>
        <v>0</v>
      </c>
      <c r="AM66" s="85"/>
      <c r="AN66" s="86">
        <f t="shared" si="54"/>
        <v>0</v>
      </c>
      <c r="AO66" s="87">
        <f t="shared" si="50"/>
        <v>0</v>
      </c>
      <c r="AP66" s="88">
        <f t="shared" si="51"/>
        <v>0</v>
      </c>
      <c r="AQ66" s="68"/>
      <c r="AR66" s="75"/>
      <c r="AS66" s="56">
        <f>'Ship Data Metric'!E67*0.03280839895</f>
        <v>0</v>
      </c>
      <c r="AT66" s="69">
        <f t="shared" si="52"/>
        <v>0</v>
      </c>
      <c r="AU66" s="87">
        <f t="shared" si="53"/>
        <v>0</v>
      </c>
      <c r="AV66" s="88">
        <f t="shared" si="10"/>
        <v>0</v>
      </c>
      <c r="AW66" s="80">
        <f t="shared" si="39"/>
        <v>0</v>
      </c>
      <c r="AX66" s="81">
        <f t="shared" si="40"/>
        <v>0</v>
      </c>
      <c r="AY66" s="88">
        <f t="shared" si="41"/>
        <v>0</v>
      </c>
    </row>
    <row r="67" ht="15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75"/>
      <c r="AB67" s="158" t="s">
        <v>43</v>
      </c>
      <c r="AC67" s="56">
        <f>IF('Ship Data Imperial'!E68&gt;0,'Ship Data Imperial'!E68,AS67)</f>
        <v>0</v>
      </c>
      <c r="AD67" s="77"/>
      <c r="AE67" s="77"/>
      <c r="AF67" s="78"/>
      <c r="AG67" s="79">
        <f>AC67*2.36</f>
        <v>0</v>
      </c>
      <c r="AH67" s="80">
        <f t="shared" si="46"/>
        <v>0</v>
      </c>
      <c r="AI67" s="81">
        <f t="shared" si="29"/>
        <v>0</v>
      </c>
      <c r="AJ67" s="82">
        <f t="shared" si="47"/>
        <v>0</v>
      </c>
      <c r="AK67" s="83">
        <f t="shared" si="48"/>
        <v>0</v>
      </c>
      <c r="AL67" s="84">
        <f>IF(AC67&gt;0,Masts!$C$14*0.7,0)</f>
        <v>0</v>
      </c>
      <c r="AM67" s="85"/>
      <c r="AN67" s="86">
        <f t="shared" si="54"/>
        <v>0</v>
      </c>
      <c r="AO67" s="87">
        <f t="shared" si="50"/>
        <v>0</v>
      </c>
      <c r="AP67" s="88">
        <f t="shared" si="51"/>
        <v>0</v>
      </c>
      <c r="AQ67" s="68"/>
      <c r="AR67" s="75"/>
      <c r="AS67" s="56">
        <f>'Ship Data Metric'!E68*0.03280839895</f>
        <v>0</v>
      </c>
      <c r="AT67" s="69">
        <f t="shared" si="52"/>
        <v>0</v>
      </c>
      <c r="AU67" s="87">
        <f t="shared" si="53"/>
        <v>0</v>
      </c>
      <c r="AV67" s="88">
        <f t="shared" si="10"/>
        <v>0</v>
      </c>
      <c r="AW67" s="80">
        <f t="shared" si="39"/>
        <v>0</v>
      </c>
      <c r="AX67" s="81">
        <f t="shared" si="40"/>
        <v>0</v>
      </c>
      <c r="AY67" s="88">
        <f t="shared" si="41"/>
        <v>0</v>
      </c>
    </row>
    <row r="68" ht="15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75"/>
      <c r="AB68" s="158" t="s">
        <v>44</v>
      </c>
      <c r="AC68" s="56">
        <f>IF('Ship Data Imperial'!E69&gt;0,'Ship Data Imperial'!E69,AS68)</f>
        <v>0</v>
      </c>
      <c r="AD68" s="77"/>
      <c r="AE68" s="77"/>
      <c r="AF68" s="78"/>
      <c r="AG68" s="79">
        <f>AC68*2.38</f>
        <v>0</v>
      </c>
      <c r="AH68" s="80">
        <f t="shared" si="46"/>
        <v>0</v>
      </c>
      <c r="AI68" s="81">
        <f t="shared" si="29"/>
        <v>0</v>
      </c>
      <c r="AJ68" s="82">
        <f t="shared" si="47"/>
        <v>0</v>
      </c>
      <c r="AK68" s="83">
        <f t="shared" si="48"/>
        <v>0</v>
      </c>
      <c r="AL68" s="84">
        <f>IF(AC68&gt;0,Masts!$C$14*0.7,0)</f>
        <v>0</v>
      </c>
      <c r="AM68" s="85"/>
      <c r="AN68" s="86">
        <f t="shared" si="54"/>
        <v>0</v>
      </c>
      <c r="AO68" s="87">
        <f t="shared" si="50"/>
        <v>0</v>
      </c>
      <c r="AP68" s="88">
        <f t="shared" si="51"/>
        <v>0</v>
      </c>
      <c r="AQ68" s="68"/>
      <c r="AR68" s="75"/>
      <c r="AS68" s="56">
        <f>'Ship Data Metric'!E69*0.03280839895</f>
        <v>0</v>
      </c>
      <c r="AT68" s="69">
        <f t="shared" si="52"/>
        <v>0</v>
      </c>
      <c r="AU68" s="87">
        <f t="shared" si="53"/>
        <v>0</v>
      </c>
      <c r="AV68" s="88">
        <f t="shared" si="10"/>
        <v>0</v>
      </c>
      <c r="AW68" s="80">
        <f t="shared" si="39"/>
        <v>0</v>
      </c>
      <c r="AX68" s="81">
        <f t="shared" si="40"/>
        <v>0</v>
      </c>
      <c r="AY68" s="88">
        <f t="shared" si="41"/>
        <v>0</v>
      </c>
    </row>
    <row r="69" ht="15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75"/>
      <c r="AB69" s="158" t="s">
        <v>45</v>
      </c>
      <c r="AC69" s="56">
        <f>IF('Ship Data Imperial'!E70&gt;0,'Ship Data Imperial'!E70,AS69)</f>
        <v>0</v>
      </c>
      <c r="AD69" s="77"/>
      <c r="AE69" s="77"/>
      <c r="AF69" s="78"/>
      <c r="AG69" s="79">
        <f>AC69*2.4</f>
        <v>0</v>
      </c>
      <c r="AH69" s="80">
        <f t="shared" si="46"/>
        <v>0</v>
      </c>
      <c r="AI69" s="81">
        <f t="shared" si="29"/>
        <v>0</v>
      </c>
      <c r="AJ69" s="82">
        <f t="shared" si="47"/>
        <v>0</v>
      </c>
      <c r="AK69" s="83">
        <f t="shared" si="48"/>
        <v>0</v>
      </c>
      <c r="AL69" s="84">
        <f>IF(AC69&gt;0,Masts!$C$14*0.7,0)</f>
        <v>0</v>
      </c>
      <c r="AM69" s="85"/>
      <c r="AN69" s="86">
        <f t="shared" si="54"/>
        <v>0</v>
      </c>
      <c r="AO69" s="87">
        <f t="shared" si="50"/>
        <v>0</v>
      </c>
      <c r="AP69" s="88">
        <f t="shared" si="51"/>
        <v>0</v>
      </c>
      <c r="AQ69" s="68"/>
      <c r="AR69" s="75"/>
      <c r="AS69" s="56">
        <f>'Ship Data Metric'!E70*0.03280839895</f>
        <v>0</v>
      </c>
      <c r="AT69" s="69">
        <f t="shared" si="52"/>
        <v>0</v>
      </c>
      <c r="AU69" s="87">
        <f t="shared" si="53"/>
        <v>0</v>
      </c>
      <c r="AV69" s="88">
        <f t="shared" si="10"/>
        <v>0</v>
      </c>
      <c r="AW69" s="80">
        <f t="shared" si="39"/>
        <v>0</v>
      </c>
      <c r="AX69" s="81">
        <f t="shared" si="40"/>
        <v>0</v>
      </c>
      <c r="AY69" s="88">
        <f t="shared" si="41"/>
        <v>0</v>
      </c>
    </row>
    <row r="70" ht="15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75"/>
      <c r="AB70" s="158" t="s">
        <v>46</v>
      </c>
      <c r="AC70" s="56">
        <f>IF('Ship Data Imperial'!E71&gt;0,'Ship Data Imperial'!E71,AS70)</f>
        <v>0</v>
      </c>
      <c r="AD70" s="77"/>
      <c r="AE70" s="77"/>
      <c r="AF70" s="78"/>
      <c r="AG70" s="79">
        <f>AC70*2.42</f>
        <v>0</v>
      </c>
      <c r="AH70" s="80">
        <f t="shared" si="46"/>
        <v>0</v>
      </c>
      <c r="AI70" s="81">
        <f t="shared" si="29"/>
        <v>0</v>
      </c>
      <c r="AJ70" s="82">
        <f t="shared" si="47"/>
        <v>0</v>
      </c>
      <c r="AK70" s="83">
        <f>IF(AC70&gt;0,$AG$136*0.8,0)</f>
        <v>0</v>
      </c>
      <c r="AL70" s="84">
        <f>IF(AC70&gt;0,Masts!$C$14*0.7,0)</f>
        <v>0</v>
      </c>
      <c r="AM70" s="85"/>
      <c r="AN70" s="86">
        <f t="shared" si="54"/>
        <v>0</v>
      </c>
      <c r="AO70" s="87">
        <f t="shared" si="50"/>
        <v>0</v>
      </c>
      <c r="AP70" s="88">
        <f t="shared" si="51"/>
        <v>0</v>
      </c>
      <c r="AQ70" s="68"/>
      <c r="AR70" s="75"/>
      <c r="AS70" s="56">
        <f>'Ship Data Metric'!E71*0.03280839895</f>
        <v>0</v>
      </c>
      <c r="AT70" s="69">
        <f t="shared" si="52"/>
        <v>0</v>
      </c>
      <c r="AU70" s="87">
        <f t="shared" si="53"/>
        <v>0</v>
      </c>
      <c r="AV70" s="88">
        <f t="shared" si="10"/>
        <v>0</v>
      </c>
      <c r="AW70" s="80">
        <f t="shared" si="39"/>
        <v>0</v>
      </c>
      <c r="AX70" s="81">
        <f t="shared" si="40"/>
        <v>0</v>
      </c>
      <c r="AY70" s="88">
        <f t="shared" si="41"/>
        <v>0</v>
      </c>
    </row>
    <row r="71" ht="15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75" t="s">
        <v>47</v>
      </c>
      <c r="AB71" s="76" t="s">
        <v>24</v>
      </c>
      <c r="AC71" s="56">
        <f>IF('Ship Data Imperial'!E72&gt;0,'Ship Data Imperial'!E72,AS71)</f>
        <v>0</v>
      </c>
      <c r="AD71" s="77"/>
      <c r="AE71" s="77"/>
      <c r="AF71" s="78"/>
      <c r="AG71" s="79">
        <f>AC71*2.28</f>
        <v>0</v>
      </c>
      <c r="AH71" s="80">
        <f t="shared" si="46"/>
        <v>0</v>
      </c>
      <c r="AI71" s="81">
        <f t="shared" si="29"/>
        <v>0</v>
      </c>
      <c r="AJ71" s="82">
        <f t="shared" si="47"/>
        <v>0</v>
      </c>
      <c r="AK71" s="83">
        <f t="shared" ref="AK71:AK76" si="55">IF(AC71&gt;0,$AG$136*0.85,0)</f>
        <v>0</v>
      </c>
      <c r="AL71" s="84">
        <f>IF(AC71&gt;0,Masts!$C$14*0.7,0)</f>
        <v>0</v>
      </c>
      <c r="AM71" s="85">
        <f t="shared" ref="AM71:AM85" si="56">IF(AL71&gt;0,AL71*0.63,0)</f>
        <v>0</v>
      </c>
      <c r="AN71" s="86">
        <f>IF(AC71&gt;0,$AG$136*0.6,0)</f>
        <v>0</v>
      </c>
      <c r="AO71" s="87">
        <f t="shared" si="50"/>
        <v>0</v>
      </c>
      <c r="AP71" s="88">
        <f t="shared" si="51"/>
        <v>0</v>
      </c>
      <c r="AQ71" s="68"/>
      <c r="AR71" s="75" t="s">
        <v>47</v>
      </c>
      <c r="AS71" s="56">
        <f>'Ship Data Metric'!E72*0.03280839895</f>
        <v>0</v>
      </c>
      <c r="AT71" s="69">
        <f t="shared" si="52"/>
        <v>0</v>
      </c>
      <c r="AU71" s="87">
        <f t="shared" si="53"/>
        <v>0</v>
      </c>
      <c r="AV71" s="88">
        <f t="shared" si="10"/>
        <v>0</v>
      </c>
      <c r="AW71" s="80">
        <f t="shared" si="39"/>
        <v>0</v>
      </c>
      <c r="AX71" s="81">
        <f t="shared" si="40"/>
        <v>0</v>
      </c>
      <c r="AY71" s="88">
        <f t="shared" si="41"/>
        <v>0</v>
      </c>
    </row>
    <row r="72" ht="15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75"/>
      <c r="AB72" s="76" t="s">
        <v>25</v>
      </c>
      <c r="AC72" s="56">
        <f>IF('Ship Data Imperial'!E73&gt;0,'Ship Data Imperial'!E73,AS72)</f>
        <v>0</v>
      </c>
      <c r="AD72" s="77"/>
      <c r="AE72" s="77"/>
      <c r="AF72" s="78"/>
      <c r="AG72" s="79">
        <f>AC72*2.32</f>
        <v>0</v>
      </c>
      <c r="AH72" s="80">
        <f t="shared" si="46"/>
        <v>0</v>
      </c>
      <c r="AI72" s="81">
        <f t="shared" si="29"/>
        <v>0</v>
      </c>
      <c r="AJ72" s="82">
        <f t="shared" si="47"/>
        <v>0</v>
      </c>
      <c r="AK72" s="83">
        <f t="shared" si="55"/>
        <v>0</v>
      </c>
      <c r="AL72" s="84">
        <f>IF(AC72&gt;0,Masts!$C$14*0.7,0)</f>
        <v>0</v>
      </c>
      <c r="AM72" s="85">
        <f t="shared" si="56"/>
        <v>0</v>
      </c>
      <c r="AN72" s="86">
        <f t="shared" ref="AN72:AN79" si="57">IF(AC72&gt;0,$AG$136*0.59,0)</f>
        <v>0</v>
      </c>
      <c r="AO72" s="87">
        <f t="shared" si="50"/>
        <v>0</v>
      </c>
      <c r="AP72" s="88">
        <f t="shared" si="51"/>
        <v>0</v>
      </c>
      <c r="AQ72" s="68"/>
      <c r="AR72" s="75"/>
      <c r="AS72" s="56">
        <f>'Ship Data Metric'!E73*0.03280839895</f>
        <v>0</v>
      </c>
      <c r="AT72" s="69">
        <f t="shared" si="52"/>
        <v>0</v>
      </c>
      <c r="AU72" s="87">
        <f t="shared" si="53"/>
        <v>0</v>
      </c>
      <c r="AV72" s="88">
        <f t="shared" si="10"/>
        <v>0</v>
      </c>
      <c r="AW72" s="80">
        <f t="shared" si="39"/>
        <v>0</v>
      </c>
      <c r="AX72" s="81">
        <f t="shared" si="40"/>
        <v>0</v>
      </c>
      <c r="AY72" s="88">
        <f t="shared" si="41"/>
        <v>0</v>
      </c>
    </row>
    <row r="73" ht="15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75"/>
      <c r="AB73" s="158" t="s">
        <v>40</v>
      </c>
      <c r="AC73" s="56">
        <f>IF('Ship Data Imperial'!E74&gt;0,'Ship Data Imperial'!E74,AS73)</f>
        <v>0</v>
      </c>
      <c r="AD73" s="77"/>
      <c r="AE73" s="77"/>
      <c r="AF73" s="78"/>
      <c r="AG73" s="79">
        <f>AC73*2.34</f>
        <v>0</v>
      </c>
      <c r="AH73" s="80">
        <f t="shared" si="46"/>
        <v>0</v>
      </c>
      <c r="AI73" s="81">
        <f t="shared" si="29"/>
        <v>0</v>
      </c>
      <c r="AJ73" s="82">
        <f t="shared" si="47"/>
        <v>0</v>
      </c>
      <c r="AK73" s="83">
        <f t="shared" si="55"/>
        <v>0</v>
      </c>
      <c r="AL73" s="84">
        <f>IF(AC73&gt;0,Masts!$C$14*0.7,0)</f>
        <v>0</v>
      </c>
      <c r="AM73" s="85">
        <f t="shared" si="56"/>
        <v>0</v>
      </c>
      <c r="AN73" s="86">
        <f t="shared" si="57"/>
        <v>0</v>
      </c>
      <c r="AO73" s="87">
        <f t="shared" si="50"/>
        <v>0</v>
      </c>
      <c r="AP73" s="88">
        <f t="shared" si="51"/>
        <v>0</v>
      </c>
      <c r="AQ73" s="68"/>
      <c r="AR73" s="75"/>
      <c r="AS73" s="56">
        <f>'Ship Data Metric'!E74*0.03280839895</f>
        <v>0</v>
      </c>
      <c r="AT73" s="69">
        <f t="shared" si="52"/>
        <v>0</v>
      </c>
      <c r="AU73" s="87">
        <f t="shared" si="53"/>
        <v>0</v>
      </c>
      <c r="AV73" s="88">
        <f t="shared" si="10"/>
        <v>0</v>
      </c>
      <c r="AW73" s="80">
        <f t="shared" si="39"/>
        <v>0</v>
      </c>
      <c r="AX73" s="81">
        <f t="shared" si="40"/>
        <v>0</v>
      </c>
      <c r="AY73" s="88">
        <f t="shared" si="41"/>
        <v>0</v>
      </c>
    </row>
    <row r="74" ht="15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75"/>
      <c r="AB74" s="158" t="s">
        <v>41</v>
      </c>
      <c r="AC74" s="56">
        <f>IF('Ship Data Imperial'!E75&gt;0,'Ship Data Imperial'!E75,AS74)</f>
        <v>0</v>
      </c>
      <c r="AD74" s="77"/>
      <c r="AE74" s="77"/>
      <c r="AF74" s="78"/>
      <c r="AG74" s="79">
        <f>AC74*2.36</f>
        <v>0</v>
      </c>
      <c r="AH74" s="80">
        <f t="shared" si="46"/>
        <v>0</v>
      </c>
      <c r="AI74" s="81">
        <f t="shared" si="29"/>
        <v>0</v>
      </c>
      <c r="AJ74" s="82">
        <f t="shared" si="47"/>
        <v>0</v>
      </c>
      <c r="AK74" s="83">
        <f t="shared" si="55"/>
        <v>0</v>
      </c>
      <c r="AL74" s="84">
        <f>IF(AC74&gt;0,Masts!$C$14*0.7,0)</f>
        <v>0</v>
      </c>
      <c r="AM74" s="85">
        <f t="shared" si="56"/>
        <v>0</v>
      </c>
      <c r="AN74" s="86">
        <f t="shared" si="57"/>
        <v>0</v>
      </c>
      <c r="AO74" s="87">
        <f t="shared" si="50"/>
        <v>0</v>
      </c>
      <c r="AP74" s="88">
        <f t="shared" si="51"/>
        <v>0</v>
      </c>
      <c r="AQ74" s="68"/>
      <c r="AR74" s="75"/>
      <c r="AS74" s="56">
        <f>'Ship Data Metric'!E75*0.03280839895</f>
        <v>0</v>
      </c>
      <c r="AT74" s="69">
        <f t="shared" si="52"/>
        <v>0</v>
      </c>
      <c r="AU74" s="87">
        <f t="shared" si="53"/>
        <v>0</v>
      </c>
      <c r="AV74" s="88">
        <f t="shared" si="10"/>
        <v>0</v>
      </c>
      <c r="AW74" s="80">
        <f t="shared" si="39"/>
        <v>0</v>
      </c>
      <c r="AX74" s="81">
        <f t="shared" si="40"/>
        <v>0</v>
      </c>
      <c r="AY74" s="88">
        <f t="shared" si="41"/>
        <v>0</v>
      </c>
    </row>
    <row r="75" ht="15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75"/>
      <c r="AB75" s="158" t="s">
        <v>42</v>
      </c>
      <c r="AC75" s="56">
        <f>IF('Ship Data Imperial'!E76&gt;0,'Ship Data Imperial'!E76,AS75)</f>
        <v>0</v>
      </c>
      <c r="AD75" s="77"/>
      <c r="AE75" s="77"/>
      <c r="AF75" s="78"/>
      <c r="AG75" s="79">
        <f>AC75*2.38</f>
        <v>0</v>
      </c>
      <c r="AH75" s="80">
        <f t="shared" si="46"/>
        <v>0</v>
      </c>
      <c r="AI75" s="81">
        <f t="shared" si="29"/>
        <v>0</v>
      </c>
      <c r="AJ75" s="82">
        <f t="shared" si="47"/>
        <v>0</v>
      </c>
      <c r="AK75" s="83">
        <f t="shared" si="55"/>
        <v>0</v>
      </c>
      <c r="AL75" s="84">
        <f>IF(AC75&gt;0,Masts!$C$14*0.7,0)</f>
        <v>0</v>
      </c>
      <c r="AM75" s="85">
        <f t="shared" si="56"/>
        <v>0</v>
      </c>
      <c r="AN75" s="86">
        <f t="shared" si="57"/>
        <v>0</v>
      </c>
      <c r="AO75" s="87">
        <f t="shared" si="50"/>
        <v>0</v>
      </c>
      <c r="AP75" s="88">
        <f t="shared" si="51"/>
        <v>0</v>
      </c>
      <c r="AQ75" s="68"/>
      <c r="AR75" s="75"/>
      <c r="AS75" s="56">
        <f>'Ship Data Metric'!E76*0.03280839895</f>
        <v>0</v>
      </c>
      <c r="AT75" s="69">
        <f t="shared" si="52"/>
        <v>0</v>
      </c>
      <c r="AU75" s="87">
        <f t="shared" si="53"/>
        <v>0</v>
      </c>
      <c r="AV75" s="88">
        <f t="shared" si="10"/>
        <v>0</v>
      </c>
      <c r="AW75" s="80">
        <f t="shared" si="39"/>
        <v>0</v>
      </c>
      <c r="AX75" s="81">
        <f t="shared" si="40"/>
        <v>0</v>
      </c>
      <c r="AY75" s="88">
        <f t="shared" si="41"/>
        <v>0</v>
      </c>
    </row>
    <row r="76" ht="15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75"/>
      <c r="AB76" s="158" t="s">
        <v>43</v>
      </c>
      <c r="AC76" s="56">
        <f>IF('Ship Data Imperial'!E77&gt;0,'Ship Data Imperial'!E77,AS76)</f>
        <v>0</v>
      </c>
      <c r="AD76" s="77"/>
      <c r="AE76" s="77"/>
      <c r="AF76" s="78"/>
      <c r="AG76" s="79">
        <f>AC76*2.4</f>
        <v>0</v>
      </c>
      <c r="AH76" s="80">
        <f t="shared" si="46"/>
        <v>0</v>
      </c>
      <c r="AI76" s="81">
        <f t="shared" si="29"/>
        <v>0</v>
      </c>
      <c r="AJ76" s="82">
        <f t="shared" si="47"/>
        <v>0</v>
      </c>
      <c r="AK76" s="83">
        <f t="shared" si="55"/>
        <v>0</v>
      </c>
      <c r="AL76" s="84">
        <f>IF(AC76&gt;0,Masts!$C$14*0.7,0)</f>
        <v>0</v>
      </c>
      <c r="AM76" s="85">
        <f t="shared" si="56"/>
        <v>0</v>
      </c>
      <c r="AN76" s="86">
        <f t="shared" si="57"/>
        <v>0</v>
      </c>
      <c r="AO76" s="87">
        <f t="shared" si="50"/>
        <v>0</v>
      </c>
      <c r="AP76" s="88">
        <f t="shared" si="51"/>
        <v>0</v>
      </c>
      <c r="AQ76" s="68"/>
      <c r="AR76" s="75"/>
      <c r="AS76" s="56">
        <f>'Ship Data Metric'!E77*0.03280839895</f>
        <v>0</v>
      </c>
      <c r="AT76" s="69">
        <f t="shared" si="52"/>
        <v>0</v>
      </c>
      <c r="AU76" s="87">
        <f t="shared" si="53"/>
        <v>0</v>
      </c>
      <c r="AV76" s="88">
        <f t="shared" si="10"/>
        <v>0</v>
      </c>
      <c r="AW76" s="80">
        <f t="shared" si="39"/>
        <v>0</v>
      </c>
      <c r="AX76" s="81">
        <f t="shared" si="40"/>
        <v>0</v>
      </c>
      <c r="AY76" s="88">
        <f t="shared" si="41"/>
        <v>0</v>
      </c>
    </row>
    <row r="77" ht="15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75"/>
      <c r="AB77" s="158" t="s">
        <v>44</v>
      </c>
      <c r="AC77" s="56">
        <f>IF('Ship Data Imperial'!E78&gt;0,'Ship Data Imperial'!E78,AS77)</f>
        <v>0</v>
      </c>
      <c r="AD77" s="77"/>
      <c r="AE77" s="77"/>
      <c r="AF77" s="78"/>
      <c r="AG77" s="79">
        <f t="shared" ref="AG77:AG79" si="58">AC77*2.42</f>
        <v>0</v>
      </c>
      <c r="AH77" s="80">
        <f t="shared" si="46"/>
        <v>0</v>
      </c>
      <c r="AI77" s="81">
        <f t="shared" si="29"/>
        <v>0</v>
      </c>
      <c r="AJ77" s="82">
        <f t="shared" si="47"/>
        <v>0</v>
      </c>
      <c r="AK77" s="83">
        <f t="shared" ref="AK77:AK79" si="59">IF(AC77&gt;0,$AG$136*0.8,0)</f>
        <v>0</v>
      </c>
      <c r="AL77" s="84">
        <f>IF(AC77&gt;0,Masts!$C$14*0.7,0)</f>
        <v>0</v>
      </c>
      <c r="AM77" s="85">
        <f t="shared" si="56"/>
        <v>0</v>
      </c>
      <c r="AN77" s="86">
        <f t="shared" si="57"/>
        <v>0</v>
      </c>
      <c r="AO77" s="87">
        <f t="shared" si="50"/>
        <v>0</v>
      </c>
      <c r="AP77" s="88">
        <f t="shared" si="51"/>
        <v>0</v>
      </c>
      <c r="AQ77" s="68"/>
      <c r="AR77" s="75"/>
      <c r="AS77" s="56">
        <f>'Ship Data Metric'!E78*0.03280839895</f>
        <v>0</v>
      </c>
      <c r="AT77" s="69">
        <f t="shared" si="52"/>
        <v>0</v>
      </c>
      <c r="AU77" s="87">
        <f t="shared" si="53"/>
        <v>0</v>
      </c>
      <c r="AV77" s="88">
        <f t="shared" si="10"/>
        <v>0</v>
      </c>
      <c r="AW77" s="80">
        <f t="shared" si="39"/>
        <v>0</v>
      </c>
      <c r="AX77" s="81">
        <f t="shared" si="40"/>
        <v>0</v>
      </c>
      <c r="AY77" s="88">
        <f t="shared" si="41"/>
        <v>0</v>
      </c>
    </row>
    <row r="78" ht="15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75"/>
      <c r="AB78" s="158" t="s">
        <v>45</v>
      </c>
      <c r="AC78" s="56">
        <f>IF('Ship Data Imperial'!E79&gt;0,'Ship Data Imperial'!E79,AS78)</f>
        <v>0</v>
      </c>
      <c r="AD78" s="77"/>
      <c r="AE78" s="77"/>
      <c r="AF78" s="78"/>
      <c r="AG78" s="79">
        <f t="shared" si="58"/>
        <v>0</v>
      </c>
      <c r="AH78" s="80">
        <f t="shared" si="46"/>
        <v>0</v>
      </c>
      <c r="AI78" s="81">
        <f t="shared" si="29"/>
        <v>0</v>
      </c>
      <c r="AJ78" s="82">
        <f t="shared" si="47"/>
        <v>0</v>
      </c>
      <c r="AK78" s="83">
        <f t="shared" si="59"/>
        <v>0</v>
      </c>
      <c r="AL78" s="84">
        <f>IF(AC78&gt;0,Masts!$C$14*0.7,0)</f>
        <v>0</v>
      </c>
      <c r="AM78" s="85">
        <f t="shared" si="56"/>
        <v>0</v>
      </c>
      <c r="AN78" s="86">
        <f t="shared" si="57"/>
        <v>0</v>
      </c>
      <c r="AO78" s="87">
        <f t="shared" si="50"/>
        <v>0</v>
      </c>
      <c r="AP78" s="88">
        <f t="shared" si="51"/>
        <v>0</v>
      </c>
      <c r="AQ78" s="68"/>
      <c r="AR78" s="75"/>
      <c r="AS78" s="56">
        <f>'Ship Data Metric'!E79*0.03280839895</f>
        <v>0</v>
      </c>
      <c r="AT78" s="69">
        <f t="shared" si="52"/>
        <v>0</v>
      </c>
      <c r="AU78" s="87">
        <f t="shared" si="53"/>
        <v>0</v>
      </c>
      <c r="AV78" s="88">
        <f t="shared" si="10"/>
        <v>0</v>
      </c>
      <c r="AW78" s="80">
        <f t="shared" si="39"/>
        <v>0</v>
      </c>
      <c r="AX78" s="81">
        <f t="shared" si="40"/>
        <v>0</v>
      </c>
      <c r="AY78" s="88">
        <f t="shared" si="41"/>
        <v>0</v>
      </c>
    </row>
    <row r="79" ht="15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75"/>
      <c r="AB79" s="158" t="s">
        <v>46</v>
      </c>
      <c r="AC79" s="56">
        <f>IF('Ship Data Imperial'!E80&gt;0,'Ship Data Imperial'!E80,AS79)</f>
        <v>0</v>
      </c>
      <c r="AD79" s="77"/>
      <c r="AE79" s="77"/>
      <c r="AF79" s="78"/>
      <c r="AG79" s="79">
        <f t="shared" si="58"/>
        <v>0</v>
      </c>
      <c r="AH79" s="80">
        <f t="shared" si="46"/>
        <v>0</v>
      </c>
      <c r="AI79" s="81">
        <f t="shared" si="29"/>
        <v>0</v>
      </c>
      <c r="AJ79" s="82">
        <f t="shared" si="47"/>
        <v>0</v>
      </c>
      <c r="AK79" s="83">
        <f t="shared" si="59"/>
        <v>0</v>
      </c>
      <c r="AL79" s="84">
        <f>IF(AC79&gt;0,Masts!$C$14*0.7,0)</f>
        <v>0</v>
      </c>
      <c r="AM79" s="85">
        <f t="shared" si="56"/>
        <v>0</v>
      </c>
      <c r="AN79" s="86">
        <f t="shared" si="57"/>
        <v>0</v>
      </c>
      <c r="AO79" s="87">
        <f t="shared" si="50"/>
        <v>0</v>
      </c>
      <c r="AP79" s="88">
        <f t="shared" si="51"/>
        <v>0</v>
      </c>
      <c r="AQ79" s="68"/>
      <c r="AR79" s="75"/>
      <c r="AS79" s="56">
        <f>'Ship Data Metric'!E80*0.03280839895</f>
        <v>0</v>
      </c>
      <c r="AT79" s="69">
        <f t="shared" si="52"/>
        <v>0</v>
      </c>
      <c r="AU79" s="87">
        <f t="shared" si="53"/>
        <v>0</v>
      </c>
      <c r="AV79" s="88">
        <f t="shared" si="10"/>
        <v>0</v>
      </c>
      <c r="AW79" s="80">
        <f t="shared" si="39"/>
        <v>0</v>
      </c>
      <c r="AX79" s="81">
        <f t="shared" si="40"/>
        <v>0</v>
      </c>
      <c r="AY79" s="88">
        <f t="shared" si="41"/>
        <v>0</v>
      </c>
    </row>
    <row r="80" ht="15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75" t="s">
        <v>48</v>
      </c>
      <c r="AB80" s="76" t="s">
        <v>24</v>
      </c>
      <c r="AC80" s="56">
        <f>IF('Ship Data Imperial'!E81&gt;0,'Ship Data Imperial'!E81,AS80)</f>
        <v>0</v>
      </c>
      <c r="AD80" s="77"/>
      <c r="AE80" s="77"/>
      <c r="AF80" s="78"/>
      <c r="AG80" s="79">
        <f>AC80*2.24</f>
        <v>0</v>
      </c>
      <c r="AH80" s="80">
        <f t="shared" si="46"/>
        <v>0</v>
      </c>
      <c r="AI80" s="81">
        <f t="shared" si="29"/>
        <v>0</v>
      </c>
      <c r="AJ80" s="82">
        <f t="shared" si="47"/>
        <v>0</v>
      </c>
      <c r="AK80" s="83">
        <f t="shared" ref="AK80:AK85" si="60">IF(AC80&gt;0,$AG$136*0.86,0)</f>
        <v>0</v>
      </c>
      <c r="AL80" s="84">
        <f>IF(AC80&gt;0,Masts!$C$14*0.7,0)</f>
        <v>0</v>
      </c>
      <c r="AM80" s="85">
        <f t="shared" si="56"/>
        <v>0</v>
      </c>
      <c r="AN80" s="86">
        <f t="shared" ref="AN80:AN85" si="61">IF(AC80&gt;0,$AG$136*0.63,0)</f>
        <v>0</v>
      </c>
      <c r="AO80" s="87">
        <f t="shared" ref="AO80:AO85" si="62">IF(AC80&gt;0,$AN$136*0.7,0)</f>
        <v>0</v>
      </c>
      <c r="AP80" s="88">
        <f t="shared" ref="AP80:AP85" si="63">IF(AC80&gt;0,$AI$136*0.43,0)</f>
        <v>0</v>
      </c>
      <c r="AQ80" s="68"/>
      <c r="AR80" s="75" t="s">
        <v>48</v>
      </c>
      <c r="AS80" s="56">
        <f>'Ship Data Metric'!E81*0.03280839895</f>
        <v>0</v>
      </c>
      <c r="AT80" s="69">
        <f t="shared" si="52"/>
        <v>0</v>
      </c>
      <c r="AU80" s="87">
        <f t="shared" si="53"/>
        <v>0</v>
      </c>
      <c r="AV80" s="88">
        <f t="shared" si="10"/>
        <v>0</v>
      </c>
      <c r="AW80" s="80">
        <f t="shared" si="39"/>
        <v>0</v>
      </c>
      <c r="AX80" s="81">
        <f t="shared" si="40"/>
        <v>0</v>
      </c>
      <c r="AY80" s="88">
        <f t="shared" si="41"/>
        <v>0</v>
      </c>
    </row>
    <row r="81" ht="15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75"/>
      <c r="AB81" s="76" t="s">
        <v>25</v>
      </c>
      <c r="AC81" s="56">
        <f>IF('Ship Data Imperial'!E82&gt;0,'Ship Data Imperial'!E82,AS81)</f>
        <v>0</v>
      </c>
      <c r="AD81" s="77"/>
      <c r="AE81" s="77"/>
      <c r="AF81" s="78"/>
      <c r="AG81" s="79">
        <f>AC81*2.26</f>
        <v>0</v>
      </c>
      <c r="AH81" s="80">
        <f t="shared" si="46"/>
        <v>0</v>
      </c>
      <c r="AI81" s="81">
        <f t="shared" si="29"/>
        <v>0</v>
      </c>
      <c r="AJ81" s="82">
        <f t="shared" si="47"/>
        <v>0</v>
      </c>
      <c r="AK81" s="83">
        <f t="shared" si="60"/>
        <v>0</v>
      </c>
      <c r="AL81" s="84">
        <f>IF(AC81&gt;0,Masts!$C$14*0.7,0)</f>
        <v>0</v>
      </c>
      <c r="AM81" s="85">
        <f t="shared" si="56"/>
        <v>0</v>
      </c>
      <c r="AN81" s="86">
        <f t="shared" si="61"/>
        <v>0</v>
      </c>
      <c r="AO81" s="87">
        <f t="shared" si="62"/>
        <v>0</v>
      </c>
      <c r="AP81" s="88">
        <f t="shared" si="63"/>
        <v>0</v>
      </c>
      <c r="AQ81" s="68"/>
      <c r="AR81" s="75"/>
      <c r="AS81" s="56">
        <f>'Ship Data Metric'!E82*0.03280839895</f>
        <v>0</v>
      </c>
      <c r="AT81" s="69">
        <f t="shared" si="52"/>
        <v>0</v>
      </c>
      <c r="AU81" s="87">
        <f t="shared" si="53"/>
        <v>0</v>
      </c>
      <c r="AV81" s="88">
        <f t="shared" si="10"/>
        <v>0</v>
      </c>
      <c r="AW81" s="80">
        <f t="shared" si="39"/>
        <v>0</v>
      </c>
      <c r="AX81" s="81">
        <f t="shared" si="40"/>
        <v>0</v>
      </c>
      <c r="AY81" s="88">
        <f t="shared" si="41"/>
        <v>0</v>
      </c>
    </row>
    <row r="82" ht="15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75"/>
      <c r="AB82" s="76" t="s">
        <v>26</v>
      </c>
      <c r="AC82" s="56">
        <f>IF('Ship Data Imperial'!E83&gt;0,'Ship Data Imperial'!E83,AS82)</f>
        <v>0</v>
      </c>
      <c r="AD82" s="77"/>
      <c r="AE82" s="77"/>
      <c r="AF82" s="78"/>
      <c r="AG82" s="79">
        <f>AC82*2.27</f>
        <v>0</v>
      </c>
      <c r="AH82" s="80">
        <f t="shared" si="46"/>
        <v>0</v>
      </c>
      <c r="AI82" s="81">
        <f t="shared" si="29"/>
        <v>0</v>
      </c>
      <c r="AJ82" s="82">
        <f t="shared" si="47"/>
        <v>0</v>
      </c>
      <c r="AK82" s="83">
        <f t="shared" si="60"/>
        <v>0</v>
      </c>
      <c r="AL82" s="84">
        <f>IF(AC82&gt;0,Masts!$C$14*0.7,0)</f>
        <v>0</v>
      </c>
      <c r="AM82" s="85">
        <f t="shared" si="56"/>
        <v>0</v>
      </c>
      <c r="AN82" s="86">
        <f t="shared" si="61"/>
        <v>0</v>
      </c>
      <c r="AO82" s="87">
        <f t="shared" si="62"/>
        <v>0</v>
      </c>
      <c r="AP82" s="88">
        <f t="shared" si="63"/>
        <v>0</v>
      </c>
      <c r="AQ82" s="68"/>
      <c r="AR82" s="75"/>
      <c r="AS82" s="56">
        <f>'Ship Data Metric'!E83*0.03280839895</f>
        <v>0</v>
      </c>
      <c r="AT82" s="69">
        <f t="shared" si="52"/>
        <v>0</v>
      </c>
      <c r="AU82" s="87">
        <f t="shared" si="53"/>
        <v>0</v>
      </c>
      <c r="AV82" s="88">
        <f t="shared" si="10"/>
        <v>0</v>
      </c>
      <c r="AW82" s="80">
        <f t="shared" si="39"/>
        <v>0</v>
      </c>
      <c r="AX82" s="81">
        <f t="shared" si="40"/>
        <v>0</v>
      </c>
      <c r="AY82" s="88">
        <f t="shared" si="41"/>
        <v>0</v>
      </c>
    </row>
    <row r="83" ht="15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75"/>
      <c r="AB83" s="76" t="s">
        <v>27</v>
      </c>
      <c r="AC83" s="56">
        <f>IF('Ship Data Imperial'!E84&gt;0,'Ship Data Imperial'!E84,AS83)</f>
        <v>0</v>
      </c>
      <c r="AD83" s="77"/>
      <c r="AE83" s="77"/>
      <c r="AF83" s="78"/>
      <c r="AG83" s="79">
        <f t="shared" ref="AG83:AG84" si="64">AC83*2.22</f>
        <v>0</v>
      </c>
      <c r="AH83" s="80">
        <f t="shared" si="46"/>
        <v>0</v>
      </c>
      <c r="AI83" s="81">
        <f t="shared" si="29"/>
        <v>0</v>
      </c>
      <c r="AJ83" s="82">
        <f t="shared" si="47"/>
        <v>0</v>
      </c>
      <c r="AK83" s="83">
        <f t="shared" si="60"/>
        <v>0</v>
      </c>
      <c r="AL83" s="84">
        <f>IF(AC83&gt;0,Masts!$C$14*0.7,0)</f>
        <v>0</v>
      </c>
      <c r="AM83" s="85">
        <f t="shared" si="56"/>
        <v>0</v>
      </c>
      <c r="AN83" s="86">
        <f t="shared" si="61"/>
        <v>0</v>
      </c>
      <c r="AO83" s="87">
        <f t="shared" si="62"/>
        <v>0</v>
      </c>
      <c r="AP83" s="88">
        <f t="shared" si="63"/>
        <v>0</v>
      </c>
      <c r="AQ83" s="68"/>
      <c r="AR83" s="75"/>
      <c r="AS83" s="56">
        <f>'Ship Data Metric'!E84*0.03280839895</f>
        <v>0</v>
      </c>
      <c r="AT83" s="69">
        <f t="shared" si="52"/>
        <v>0</v>
      </c>
      <c r="AU83" s="87">
        <f t="shared" si="53"/>
        <v>0</v>
      </c>
      <c r="AV83" s="88">
        <f t="shared" si="10"/>
        <v>0</v>
      </c>
      <c r="AW83" s="80">
        <f t="shared" si="39"/>
        <v>0</v>
      </c>
      <c r="AX83" s="81">
        <f t="shared" si="40"/>
        <v>0</v>
      </c>
      <c r="AY83" s="88">
        <f t="shared" si="41"/>
        <v>0</v>
      </c>
    </row>
    <row r="84" ht="15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75"/>
      <c r="AB84" s="76" t="s">
        <v>28</v>
      </c>
      <c r="AC84" s="56">
        <f>IF('Ship Data Imperial'!E85&gt;0,'Ship Data Imperial'!E85,AS84)</f>
        <v>0</v>
      </c>
      <c r="AD84" s="77"/>
      <c r="AE84" s="77"/>
      <c r="AF84" s="78"/>
      <c r="AG84" s="79">
        <f t="shared" si="64"/>
        <v>0</v>
      </c>
      <c r="AH84" s="80">
        <f t="shared" si="46"/>
        <v>0</v>
      </c>
      <c r="AI84" s="81">
        <f t="shared" si="29"/>
        <v>0</v>
      </c>
      <c r="AJ84" s="82">
        <f t="shared" si="47"/>
        <v>0</v>
      </c>
      <c r="AK84" s="83">
        <f t="shared" si="60"/>
        <v>0</v>
      </c>
      <c r="AL84" s="84">
        <f>IF(AC84&gt;0,Masts!$C$14*0.7,0)</f>
        <v>0</v>
      </c>
      <c r="AM84" s="85">
        <f t="shared" si="56"/>
        <v>0</v>
      </c>
      <c r="AN84" s="86">
        <f t="shared" si="61"/>
        <v>0</v>
      </c>
      <c r="AO84" s="87">
        <f t="shared" si="62"/>
        <v>0</v>
      </c>
      <c r="AP84" s="88">
        <f t="shared" si="63"/>
        <v>0</v>
      </c>
      <c r="AQ84" s="68"/>
      <c r="AR84" s="75"/>
      <c r="AS84" s="56">
        <f>'Ship Data Metric'!E85*0.03280839895</f>
        <v>0</v>
      </c>
      <c r="AT84" s="69">
        <f t="shared" si="52"/>
        <v>0</v>
      </c>
      <c r="AU84" s="87">
        <f t="shared" si="53"/>
        <v>0</v>
      </c>
      <c r="AV84" s="88">
        <f t="shared" si="10"/>
        <v>0</v>
      </c>
      <c r="AW84" s="80">
        <f t="shared" si="39"/>
        <v>0</v>
      </c>
      <c r="AX84" s="81">
        <f t="shared" si="40"/>
        <v>0</v>
      </c>
      <c r="AY84" s="88">
        <f t="shared" si="41"/>
        <v>0</v>
      </c>
    </row>
    <row r="85" ht="15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75"/>
      <c r="AB85" s="76" t="s">
        <v>29</v>
      </c>
      <c r="AC85" s="56">
        <f>IF('Ship Data Imperial'!E86&gt;0,'Ship Data Imperial'!E86,AS85)</f>
        <v>0</v>
      </c>
      <c r="AD85" s="77"/>
      <c r="AE85" s="77"/>
      <c r="AF85" s="78"/>
      <c r="AG85" s="79">
        <f>AC85*2.28</f>
        <v>0</v>
      </c>
      <c r="AH85" s="80">
        <f t="shared" si="46"/>
        <v>0</v>
      </c>
      <c r="AI85" s="81">
        <f t="shared" si="29"/>
        <v>0</v>
      </c>
      <c r="AJ85" s="82">
        <f t="shared" si="47"/>
        <v>0</v>
      </c>
      <c r="AK85" s="83">
        <f t="shared" si="60"/>
        <v>0</v>
      </c>
      <c r="AL85" s="84">
        <f>IF(AC85&gt;0,Masts!$C$14*0.7,0)</f>
        <v>0</v>
      </c>
      <c r="AM85" s="85">
        <f t="shared" si="56"/>
        <v>0</v>
      </c>
      <c r="AN85" s="86">
        <f t="shared" si="61"/>
        <v>0</v>
      </c>
      <c r="AO85" s="87">
        <f t="shared" si="62"/>
        <v>0</v>
      </c>
      <c r="AP85" s="88">
        <f t="shared" si="63"/>
        <v>0</v>
      </c>
      <c r="AQ85" s="68"/>
      <c r="AR85" s="75"/>
      <c r="AS85" s="56">
        <f>'Ship Data Metric'!E86*0.03280839895</f>
        <v>0</v>
      </c>
      <c r="AT85" s="69">
        <f t="shared" si="52"/>
        <v>0</v>
      </c>
      <c r="AU85" s="87">
        <f t="shared" si="53"/>
        <v>0</v>
      </c>
      <c r="AV85" s="88">
        <f t="shared" si="10"/>
        <v>0</v>
      </c>
      <c r="AW85" s="80">
        <f t="shared" si="39"/>
        <v>0</v>
      </c>
      <c r="AX85" s="81">
        <f t="shared" si="40"/>
        <v>0</v>
      </c>
      <c r="AY85" s="88">
        <f t="shared" si="41"/>
        <v>0</v>
      </c>
    </row>
    <row r="86" ht="15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75">
        <v>1773.0</v>
      </c>
      <c r="AB86" s="76" t="s">
        <v>24</v>
      </c>
      <c r="AC86" s="56">
        <f>IF('Ship Data Imperial'!E87&gt;0,'Ship Data Imperial'!E87,AS86)</f>
        <v>0</v>
      </c>
      <c r="AD86" s="77"/>
      <c r="AE86" s="77"/>
      <c r="AF86" s="78"/>
      <c r="AG86" s="79">
        <f t="shared" ref="AG86:AG97" si="65">AC86*2.23</f>
        <v>0</v>
      </c>
      <c r="AH86" s="80">
        <f t="shared" si="46"/>
        <v>0</v>
      </c>
      <c r="AI86" s="81">
        <f t="shared" ref="AI86:AI91" si="66">IF(AC86&gt;0,$AG$136*0.93,0)</f>
        <v>0</v>
      </c>
      <c r="AJ86" s="82">
        <f t="shared" si="47"/>
        <v>0</v>
      </c>
      <c r="AK86" s="83">
        <f t="shared" ref="AK86:AK97" si="67">IF(AC86&gt;0,$AG$136*0.84,0)</f>
        <v>0</v>
      </c>
      <c r="AL86" s="84">
        <f>IF(AC86&gt;0,Masts!$C$14*0.7,0)</f>
        <v>0</v>
      </c>
      <c r="AM86" s="85">
        <f t="shared" ref="AM86:AM135" si="68">IF(AL86&gt;0,AL86*0.5,0)</f>
        <v>0</v>
      </c>
      <c r="AN86" s="86">
        <f t="shared" ref="AN86:AN97" si="69">IF(AC86&gt;0,$AG$136*0.6,0)</f>
        <v>0</v>
      </c>
      <c r="AO86" s="87">
        <f t="shared" ref="AO86:AO97" si="70">IF(AC86&gt;0,$AG$136*0.41,0)</f>
        <v>0</v>
      </c>
      <c r="AP86" s="77">
        <f>SUM(AP2:AP85)</f>
        <v>0</v>
      </c>
      <c r="AQ86" s="68"/>
      <c r="AR86" s="75">
        <v>1773.0</v>
      </c>
      <c r="AS86" s="56">
        <f>'Ship Data Metric'!E87*0.03280839895</f>
        <v>0</v>
      </c>
      <c r="AT86" s="69">
        <f t="shared" si="52"/>
        <v>0</v>
      </c>
      <c r="AU86" s="87">
        <f t="shared" si="53"/>
        <v>0</v>
      </c>
      <c r="AV86" s="88">
        <f t="shared" si="10"/>
        <v>0</v>
      </c>
      <c r="AW86" s="80">
        <f t="shared" si="39"/>
        <v>0</v>
      </c>
      <c r="AX86" s="81">
        <f t="shared" si="40"/>
        <v>0</v>
      </c>
      <c r="AY86" s="88">
        <f t="shared" si="41"/>
        <v>0</v>
      </c>
    </row>
    <row r="87" ht="15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75"/>
      <c r="AB87" s="76" t="s">
        <v>25</v>
      </c>
      <c r="AC87" s="56">
        <f>IF('Ship Data Imperial'!E88&gt;0,'Ship Data Imperial'!E88,AS87)</f>
        <v>0</v>
      </c>
      <c r="AD87" s="77"/>
      <c r="AE87" s="77"/>
      <c r="AF87" s="78"/>
      <c r="AG87" s="79">
        <f t="shared" si="65"/>
        <v>0</v>
      </c>
      <c r="AH87" s="80">
        <f t="shared" si="46"/>
        <v>0</v>
      </c>
      <c r="AI87" s="81">
        <f t="shared" si="66"/>
        <v>0</v>
      </c>
      <c r="AJ87" s="82">
        <f t="shared" si="47"/>
        <v>0</v>
      </c>
      <c r="AK87" s="83">
        <f t="shared" si="67"/>
        <v>0</v>
      </c>
      <c r="AL87" s="84">
        <f>IF(AC87&gt;0,Masts!$C$14*0.7,0)</f>
        <v>0</v>
      </c>
      <c r="AM87" s="85">
        <f t="shared" si="68"/>
        <v>0</v>
      </c>
      <c r="AN87" s="86">
        <f t="shared" si="69"/>
        <v>0</v>
      </c>
      <c r="AO87" s="87">
        <f t="shared" si="70"/>
        <v>0</v>
      </c>
      <c r="AP87" s="159"/>
      <c r="AQ87" s="68"/>
      <c r="AR87" s="75"/>
      <c r="AS87" s="56">
        <f>'Ship Data Metric'!E88*0.03280839895</f>
        <v>0</v>
      </c>
      <c r="AT87" s="69">
        <f t="shared" si="52"/>
        <v>0</v>
      </c>
      <c r="AU87" s="87">
        <f t="shared" si="53"/>
        <v>0</v>
      </c>
      <c r="AV87" s="88">
        <f t="shared" si="10"/>
        <v>0</v>
      </c>
      <c r="AW87" s="80">
        <f t="shared" si="39"/>
        <v>0</v>
      </c>
      <c r="AX87" s="81">
        <f t="shared" si="40"/>
        <v>0</v>
      </c>
      <c r="AY87" s="88">
        <f t="shared" si="41"/>
        <v>0</v>
      </c>
    </row>
    <row r="88" ht="15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75"/>
      <c r="AB88" s="76" t="s">
        <v>26</v>
      </c>
      <c r="AC88" s="56">
        <f>IF('Ship Data Imperial'!E89&gt;0,'Ship Data Imperial'!E89,AS88)</f>
        <v>0</v>
      </c>
      <c r="AD88" s="77"/>
      <c r="AE88" s="77"/>
      <c r="AF88" s="78"/>
      <c r="AG88" s="79">
        <f t="shared" si="65"/>
        <v>0</v>
      </c>
      <c r="AH88" s="80">
        <f t="shared" si="46"/>
        <v>0</v>
      </c>
      <c r="AI88" s="81">
        <f t="shared" si="66"/>
        <v>0</v>
      </c>
      <c r="AJ88" s="82">
        <f t="shared" si="47"/>
        <v>0</v>
      </c>
      <c r="AK88" s="83">
        <f t="shared" si="67"/>
        <v>0</v>
      </c>
      <c r="AL88" s="84">
        <f>IF(AC88&gt;0,Masts!$C$14*0.7,0)</f>
        <v>0</v>
      </c>
      <c r="AM88" s="85">
        <f t="shared" si="68"/>
        <v>0</v>
      </c>
      <c r="AN88" s="86">
        <f t="shared" si="69"/>
        <v>0</v>
      </c>
      <c r="AO88" s="87">
        <f t="shared" si="70"/>
        <v>0</v>
      </c>
      <c r="AP88" s="159"/>
      <c r="AQ88" s="68"/>
      <c r="AR88" s="75"/>
      <c r="AS88" s="56">
        <f>'Ship Data Metric'!E89*0.03280839895</f>
        <v>0</v>
      </c>
      <c r="AT88" s="69">
        <f t="shared" si="52"/>
        <v>0</v>
      </c>
      <c r="AU88" s="87">
        <f t="shared" ref="AU88:AU128" si="71">IF(AC88&gt;0,($AI$136/3)*5,0)</f>
        <v>0</v>
      </c>
      <c r="AV88" s="88">
        <f t="shared" si="10"/>
        <v>0</v>
      </c>
      <c r="AW88" s="80">
        <f t="shared" si="39"/>
        <v>0</v>
      </c>
      <c r="AX88" s="81">
        <f t="shared" si="40"/>
        <v>0</v>
      </c>
      <c r="AY88" s="88">
        <f t="shared" si="41"/>
        <v>0</v>
      </c>
    </row>
    <row r="89" ht="15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75"/>
      <c r="AB89" s="76" t="s">
        <v>27</v>
      </c>
      <c r="AC89" s="56">
        <f>IF('Ship Data Imperial'!E90&gt;0,'Ship Data Imperial'!E90,AS89)</f>
        <v>0</v>
      </c>
      <c r="AD89" s="77"/>
      <c r="AE89" s="77"/>
      <c r="AF89" s="78"/>
      <c r="AG89" s="79">
        <f t="shared" si="65"/>
        <v>0</v>
      </c>
      <c r="AH89" s="80">
        <f t="shared" si="46"/>
        <v>0</v>
      </c>
      <c r="AI89" s="81">
        <f t="shared" si="66"/>
        <v>0</v>
      </c>
      <c r="AJ89" s="82">
        <f t="shared" si="47"/>
        <v>0</v>
      </c>
      <c r="AK89" s="83">
        <f t="shared" si="67"/>
        <v>0</v>
      </c>
      <c r="AL89" s="84">
        <f>IF(AC89&gt;0,Masts!$C$14*0.7,0)</f>
        <v>0</v>
      </c>
      <c r="AM89" s="85">
        <f t="shared" si="68"/>
        <v>0</v>
      </c>
      <c r="AN89" s="86">
        <f t="shared" si="69"/>
        <v>0</v>
      </c>
      <c r="AO89" s="87">
        <f t="shared" si="70"/>
        <v>0</v>
      </c>
      <c r="AP89" s="159"/>
      <c r="AQ89" s="68"/>
      <c r="AR89" s="75"/>
      <c r="AS89" s="56">
        <f>'Ship Data Metric'!E90*0.03280839895</f>
        <v>0</v>
      </c>
      <c r="AT89" s="69">
        <f t="shared" si="52"/>
        <v>0</v>
      </c>
      <c r="AU89" s="87">
        <f t="shared" si="71"/>
        <v>0</v>
      </c>
      <c r="AV89" s="88">
        <f t="shared" si="10"/>
        <v>0</v>
      </c>
      <c r="AW89" s="80">
        <f t="shared" si="39"/>
        <v>0</v>
      </c>
      <c r="AX89" s="81">
        <f t="shared" si="40"/>
        <v>0</v>
      </c>
      <c r="AY89" s="88">
        <f t="shared" si="41"/>
        <v>0</v>
      </c>
    </row>
    <row r="90" ht="15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75"/>
      <c r="AB90" s="76" t="s">
        <v>28</v>
      </c>
      <c r="AC90" s="56">
        <f>IF('Ship Data Imperial'!E91&gt;0,'Ship Data Imperial'!E91,AS90)</f>
        <v>0</v>
      </c>
      <c r="AD90" s="77"/>
      <c r="AE90" s="77"/>
      <c r="AF90" s="78"/>
      <c r="AG90" s="79">
        <f t="shared" si="65"/>
        <v>0</v>
      </c>
      <c r="AH90" s="80">
        <f t="shared" si="46"/>
        <v>0</v>
      </c>
      <c r="AI90" s="81">
        <f t="shared" si="66"/>
        <v>0</v>
      </c>
      <c r="AJ90" s="82">
        <f t="shared" si="47"/>
        <v>0</v>
      </c>
      <c r="AK90" s="83">
        <f t="shared" si="67"/>
        <v>0</v>
      </c>
      <c r="AL90" s="84">
        <f>IF(AC90&gt;0,Masts!$C$14*0.7,0)</f>
        <v>0</v>
      </c>
      <c r="AM90" s="85">
        <f t="shared" si="68"/>
        <v>0</v>
      </c>
      <c r="AN90" s="86">
        <f t="shared" si="69"/>
        <v>0</v>
      </c>
      <c r="AO90" s="87">
        <f t="shared" si="70"/>
        <v>0</v>
      </c>
      <c r="AP90" s="159"/>
      <c r="AQ90" s="68"/>
      <c r="AR90" s="75"/>
      <c r="AS90" s="56">
        <f>'Ship Data Metric'!E91*0.03280839895</f>
        <v>0</v>
      </c>
      <c r="AT90" s="69">
        <f t="shared" si="52"/>
        <v>0</v>
      </c>
      <c r="AU90" s="87">
        <f t="shared" si="71"/>
        <v>0</v>
      </c>
      <c r="AV90" s="88">
        <f t="shared" si="10"/>
        <v>0</v>
      </c>
      <c r="AW90" s="80">
        <f t="shared" si="39"/>
        <v>0</v>
      </c>
      <c r="AX90" s="81">
        <f t="shared" si="40"/>
        <v>0</v>
      </c>
      <c r="AY90" s="88">
        <f t="shared" si="41"/>
        <v>0</v>
      </c>
    </row>
    <row r="91" ht="15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75"/>
      <c r="AB91" s="76" t="s">
        <v>29</v>
      </c>
      <c r="AC91" s="56">
        <f>IF('Ship Data Imperial'!E92&gt;0,'Ship Data Imperial'!E92,AS91)</f>
        <v>0</v>
      </c>
      <c r="AD91" s="77"/>
      <c r="AE91" s="77"/>
      <c r="AF91" s="78"/>
      <c r="AG91" s="79">
        <f t="shared" si="65"/>
        <v>0</v>
      </c>
      <c r="AH91" s="80">
        <f t="shared" si="46"/>
        <v>0</v>
      </c>
      <c r="AI91" s="81">
        <f t="shared" si="66"/>
        <v>0</v>
      </c>
      <c r="AJ91" s="82">
        <f t="shared" si="47"/>
        <v>0</v>
      </c>
      <c r="AK91" s="83">
        <f t="shared" si="67"/>
        <v>0</v>
      </c>
      <c r="AL91" s="84">
        <f>IF(AC91&gt;0,Masts!$C$14*0.7,0)</f>
        <v>0</v>
      </c>
      <c r="AM91" s="85">
        <f t="shared" si="68"/>
        <v>0</v>
      </c>
      <c r="AN91" s="86">
        <f t="shared" si="69"/>
        <v>0</v>
      </c>
      <c r="AO91" s="87">
        <f t="shared" si="70"/>
        <v>0</v>
      </c>
      <c r="AP91" s="159"/>
      <c r="AQ91" s="68"/>
      <c r="AR91" s="75"/>
      <c r="AS91" s="56">
        <f>'Ship Data Metric'!E92*0.03280839895</f>
        <v>0</v>
      </c>
      <c r="AT91" s="69">
        <f t="shared" si="52"/>
        <v>0</v>
      </c>
      <c r="AU91" s="87">
        <f t="shared" si="71"/>
        <v>0</v>
      </c>
      <c r="AV91" s="88">
        <f t="shared" si="10"/>
        <v>0</v>
      </c>
      <c r="AW91" s="80">
        <f t="shared" si="39"/>
        <v>0</v>
      </c>
      <c r="AX91" s="81">
        <f t="shared" si="40"/>
        <v>0</v>
      </c>
      <c r="AY91" s="88">
        <f t="shared" si="41"/>
        <v>0</v>
      </c>
    </row>
    <row r="92" ht="15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75" t="s">
        <v>49</v>
      </c>
      <c r="AB92" s="76" t="s">
        <v>24</v>
      </c>
      <c r="AC92" s="56">
        <f>IF('Ship Data Imperial'!E93&gt;0,'Ship Data Imperial'!E93,AS92)</f>
        <v>0</v>
      </c>
      <c r="AD92" s="77"/>
      <c r="AE92" s="77"/>
      <c r="AF92" s="56">
        <f>IF('Ship Data Imperial'!H93&gt;0,'Ship Data Imperial'!H93,AS92)</f>
        <v>0</v>
      </c>
      <c r="AG92" s="79">
        <f t="shared" si="65"/>
        <v>0</v>
      </c>
      <c r="AH92" s="80">
        <f t="shared" ref="AH92:AH135" si="72">IF(AC92&gt;0,$AG$136*0.5,0)</f>
        <v>0</v>
      </c>
      <c r="AI92" s="81">
        <f t="shared" ref="AI92:AI135" si="73">IF(AC92&gt;0,$AG$136*0.9,0)</f>
        <v>0</v>
      </c>
      <c r="AJ92" s="82">
        <f t="shared" ref="AJ92:AJ135" si="74">IF(AC92&gt;0,$AI$136*0.5,0)</f>
        <v>0</v>
      </c>
      <c r="AK92" s="83">
        <f t="shared" si="67"/>
        <v>0</v>
      </c>
      <c r="AL92" s="84">
        <f>IF(AC92&gt;0,Masts!$C$14*0.7,0)</f>
        <v>0</v>
      </c>
      <c r="AM92" s="85">
        <f t="shared" si="68"/>
        <v>0</v>
      </c>
      <c r="AN92" s="86">
        <f t="shared" si="69"/>
        <v>0</v>
      </c>
      <c r="AO92" s="87">
        <f t="shared" si="70"/>
        <v>0</v>
      </c>
      <c r="AP92" s="68"/>
      <c r="AQ92" s="68"/>
      <c r="AR92" s="75" t="s">
        <v>49</v>
      </c>
      <c r="AS92" s="56">
        <f>'Ship Data Metric'!E93*0.03280839895</f>
        <v>0</v>
      </c>
      <c r="AT92" s="69">
        <f t="shared" si="52"/>
        <v>0</v>
      </c>
      <c r="AU92" s="87">
        <f t="shared" si="71"/>
        <v>0</v>
      </c>
      <c r="AV92" s="88">
        <f t="shared" si="10"/>
        <v>0</v>
      </c>
      <c r="AW92" s="80">
        <f t="shared" ref="AW92:AW135" si="75">IF(AC92&gt;0,($C$14/3)*0.8,0)</f>
        <v>0</v>
      </c>
      <c r="AX92" s="81">
        <f t="shared" ref="AX92:AX135" si="76">IF(AC92&gt;0,($C$10/3)*0.8,0)</f>
        <v>0</v>
      </c>
      <c r="AY92" s="88">
        <f t="shared" ref="AY92:AY135" si="77">IF(AC92&gt;0,($C$18/3)*0.8,0)</f>
        <v>0</v>
      </c>
    </row>
    <row r="93" ht="15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75"/>
      <c r="AB93" s="76" t="s">
        <v>25</v>
      </c>
      <c r="AC93" s="56">
        <f>IF('Ship Data Imperial'!E94&gt;0,'Ship Data Imperial'!E94,AS93)</f>
        <v>0</v>
      </c>
      <c r="AD93" s="77"/>
      <c r="AE93" s="77"/>
      <c r="AF93" s="56">
        <f>IF('Ship Data Imperial'!H94&gt;0,'Ship Data Imperial'!H94,AS93)</f>
        <v>0</v>
      </c>
      <c r="AG93" s="79">
        <f t="shared" si="65"/>
        <v>0</v>
      </c>
      <c r="AH93" s="80">
        <f t="shared" si="72"/>
        <v>0</v>
      </c>
      <c r="AI93" s="81">
        <f t="shared" si="73"/>
        <v>0</v>
      </c>
      <c r="AJ93" s="82">
        <f t="shared" si="74"/>
        <v>0</v>
      </c>
      <c r="AK93" s="83">
        <f t="shared" si="67"/>
        <v>0</v>
      </c>
      <c r="AL93" s="84">
        <f>IF(AC93&gt;0,Masts!$C$14*0.7,0)</f>
        <v>0</v>
      </c>
      <c r="AM93" s="85">
        <f t="shared" si="68"/>
        <v>0</v>
      </c>
      <c r="AN93" s="86">
        <f t="shared" si="69"/>
        <v>0</v>
      </c>
      <c r="AO93" s="87">
        <f t="shared" si="70"/>
        <v>0</v>
      </c>
      <c r="AP93" s="68"/>
      <c r="AQ93" s="68"/>
      <c r="AR93" s="75"/>
      <c r="AS93" s="56">
        <f>'Ship Data Metric'!E94*0.03280839895</f>
        <v>0</v>
      </c>
      <c r="AT93" s="69">
        <f t="shared" si="52"/>
        <v>0</v>
      </c>
      <c r="AU93" s="87">
        <f t="shared" si="71"/>
        <v>0</v>
      </c>
      <c r="AV93" s="88">
        <f t="shared" si="10"/>
        <v>0</v>
      </c>
      <c r="AW93" s="80">
        <f t="shared" si="75"/>
        <v>0</v>
      </c>
      <c r="AX93" s="81">
        <f t="shared" si="76"/>
        <v>0</v>
      </c>
      <c r="AY93" s="88">
        <f t="shared" si="77"/>
        <v>0</v>
      </c>
    </row>
    <row r="94" ht="15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75"/>
      <c r="AB94" s="76" t="s">
        <v>26</v>
      </c>
      <c r="AC94" s="56">
        <f>IF('Ship Data Imperial'!E95&gt;0,'Ship Data Imperial'!E95,AS94)</f>
        <v>0</v>
      </c>
      <c r="AD94" s="77"/>
      <c r="AE94" s="77"/>
      <c r="AF94" s="56">
        <f>IF('Ship Data Imperial'!H95&gt;0,'Ship Data Imperial'!H95,AS94)</f>
        <v>0</v>
      </c>
      <c r="AG94" s="79">
        <f t="shared" si="65"/>
        <v>0</v>
      </c>
      <c r="AH94" s="80">
        <f t="shared" si="72"/>
        <v>0</v>
      </c>
      <c r="AI94" s="81">
        <f t="shared" si="73"/>
        <v>0</v>
      </c>
      <c r="AJ94" s="82">
        <f t="shared" si="74"/>
        <v>0</v>
      </c>
      <c r="AK94" s="83">
        <f t="shared" si="67"/>
        <v>0</v>
      </c>
      <c r="AL94" s="84">
        <f>IF(AC94&gt;0,Masts!$C$14*0.7,0)</f>
        <v>0</v>
      </c>
      <c r="AM94" s="85">
        <f t="shared" si="68"/>
        <v>0</v>
      </c>
      <c r="AN94" s="86">
        <f t="shared" si="69"/>
        <v>0</v>
      </c>
      <c r="AO94" s="87">
        <f t="shared" si="70"/>
        <v>0</v>
      </c>
      <c r="AP94" s="68"/>
      <c r="AQ94" s="68"/>
      <c r="AR94" s="75"/>
      <c r="AS94" s="56">
        <f>'Ship Data Metric'!E95*0.03280839895</f>
        <v>0</v>
      </c>
      <c r="AT94" s="69">
        <f t="shared" si="52"/>
        <v>0</v>
      </c>
      <c r="AU94" s="87">
        <f t="shared" si="71"/>
        <v>0</v>
      </c>
      <c r="AV94" s="88">
        <f t="shared" si="10"/>
        <v>0</v>
      </c>
      <c r="AW94" s="80">
        <f t="shared" si="75"/>
        <v>0</v>
      </c>
      <c r="AX94" s="81">
        <f t="shared" si="76"/>
        <v>0</v>
      </c>
      <c r="AY94" s="88">
        <f t="shared" si="77"/>
        <v>0</v>
      </c>
    </row>
    <row r="95" ht="15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75"/>
      <c r="AB95" s="76" t="s">
        <v>27</v>
      </c>
      <c r="AC95" s="56">
        <f>IF('Ship Data Imperial'!E96&gt;0,'Ship Data Imperial'!E96,AS95)</f>
        <v>0</v>
      </c>
      <c r="AD95" s="77"/>
      <c r="AE95" s="77"/>
      <c r="AF95" s="56">
        <f>IF('Ship Data Imperial'!H96&gt;0,'Ship Data Imperial'!H96,AS95)</f>
        <v>0</v>
      </c>
      <c r="AG95" s="79">
        <f t="shared" si="65"/>
        <v>0</v>
      </c>
      <c r="AH95" s="80">
        <f t="shared" si="72"/>
        <v>0</v>
      </c>
      <c r="AI95" s="81">
        <f t="shared" si="73"/>
        <v>0</v>
      </c>
      <c r="AJ95" s="82">
        <f t="shared" si="74"/>
        <v>0</v>
      </c>
      <c r="AK95" s="83">
        <f t="shared" si="67"/>
        <v>0</v>
      </c>
      <c r="AL95" s="84">
        <f>IF(AC95&gt;0,Masts!$C$14*0.7,0)</f>
        <v>0</v>
      </c>
      <c r="AM95" s="85">
        <f t="shared" si="68"/>
        <v>0</v>
      </c>
      <c r="AN95" s="86">
        <f t="shared" si="69"/>
        <v>0</v>
      </c>
      <c r="AO95" s="87">
        <f t="shared" si="70"/>
        <v>0</v>
      </c>
      <c r="AP95" s="68"/>
      <c r="AQ95" s="68"/>
      <c r="AR95" s="75"/>
      <c r="AS95" s="56">
        <f>'Ship Data Metric'!E96*0.03280839895</f>
        <v>0</v>
      </c>
      <c r="AT95" s="69">
        <f t="shared" si="52"/>
        <v>0</v>
      </c>
      <c r="AU95" s="87">
        <f t="shared" si="71"/>
        <v>0</v>
      </c>
      <c r="AV95" s="88">
        <f t="shared" si="10"/>
        <v>0</v>
      </c>
      <c r="AW95" s="80">
        <f t="shared" si="75"/>
        <v>0</v>
      </c>
      <c r="AX95" s="81">
        <f t="shared" si="76"/>
        <v>0</v>
      </c>
      <c r="AY95" s="88">
        <f t="shared" si="77"/>
        <v>0</v>
      </c>
    </row>
    <row r="96" ht="15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75"/>
      <c r="AB96" s="76" t="s">
        <v>28</v>
      </c>
      <c r="AC96" s="56">
        <f>IF('Ship Data Imperial'!E97&gt;0,'Ship Data Imperial'!E97,AS96)</f>
        <v>0</v>
      </c>
      <c r="AD96" s="77"/>
      <c r="AE96" s="77"/>
      <c r="AF96" s="56">
        <f>IF('Ship Data Imperial'!H97&gt;0,'Ship Data Imperial'!H97,AS96)</f>
        <v>0</v>
      </c>
      <c r="AG96" s="79">
        <f t="shared" si="65"/>
        <v>0</v>
      </c>
      <c r="AH96" s="80">
        <f t="shared" si="72"/>
        <v>0</v>
      </c>
      <c r="AI96" s="81">
        <f t="shared" si="73"/>
        <v>0</v>
      </c>
      <c r="AJ96" s="82">
        <f t="shared" si="74"/>
        <v>0</v>
      </c>
      <c r="AK96" s="83">
        <f t="shared" si="67"/>
        <v>0</v>
      </c>
      <c r="AL96" s="84">
        <f>IF(AC96&gt;0,Masts!$C$14*0.7,0)</f>
        <v>0</v>
      </c>
      <c r="AM96" s="85">
        <f t="shared" si="68"/>
        <v>0</v>
      </c>
      <c r="AN96" s="86">
        <f t="shared" si="69"/>
        <v>0</v>
      </c>
      <c r="AO96" s="87">
        <f t="shared" si="70"/>
        <v>0</v>
      </c>
      <c r="AP96" s="68"/>
      <c r="AQ96" s="68"/>
      <c r="AR96" s="75"/>
      <c r="AS96" s="56">
        <f>'Ship Data Metric'!E97*0.03280839895</f>
        <v>0</v>
      </c>
      <c r="AT96" s="69">
        <f t="shared" si="52"/>
        <v>0</v>
      </c>
      <c r="AU96" s="87">
        <f t="shared" si="71"/>
        <v>0</v>
      </c>
      <c r="AV96" s="88">
        <f t="shared" si="10"/>
        <v>0</v>
      </c>
      <c r="AW96" s="80">
        <f t="shared" si="75"/>
        <v>0</v>
      </c>
      <c r="AX96" s="81">
        <f t="shared" si="76"/>
        <v>0</v>
      </c>
      <c r="AY96" s="88">
        <f t="shared" si="77"/>
        <v>0</v>
      </c>
    </row>
    <row r="97" ht="15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75"/>
      <c r="AB97" s="76" t="s">
        <v>29</v>
      </c>
      <c r="AC97" s="56">
        <f>IF('Ship Data Imperial'!E98&gt;0,'Ship Data Imperial'!E98,AS97)</f>
        <v>0</v>
      </c>
      <c r="AD97" s="77"/>
      <c r="AE97" s="77"/>
      <c r="AF97" s="56">
        <f>IF('Ship Data Imperial'!H98&gt;0,'Ship Data Imperial'!H98,AS97)</f>
        <v>0</v>
      </c>
      <c r="AG97" s="79">
        <f t="shared" si="65"/>
        <v>0</v>
      </c>
      <c r="AH97" s="80">
        <f t="shared" si="72"/>
        <v>0</v>
      </c>
      <c r="AI97" s="81">
        <f t="shared" si="73"/>
        <v>0</v>
      </c>
      <c r="AJ97" s="82">
        <f t="shared" si="74"/>
        <v>0</v>
      </c>
      <c r="AK97" s="83">
        <f t="shared" si="67"/>
        <v>0</v>
      </c>
      <c r="AL97" s="84">
        <f>IF(AC97&gt;0,Masts!$C$14*0.7,0)</f>
        <v>0</v>
      </c>
      <c r="AM97" s="85">
        <f t="shared" si="68"/>
        <v>0</v>
      </c>
      <c r="AN97" s="86">
        <f t="shared" si="69"/>
        <v>0</v>
      </c>
      <c r="AO97" s="87">
        <f t="shared" si="70"/>
        <v>0</v>
      </c>
      <c r="AP97" s="68"/>
      <c r="AQ97" s="68"/>
      <c r="AR97" s="75"/>
      <c r="AS97" s="56">
        <f>'Ship Data Metric'!E98*0.03280839895</f>
        <v>0</v>
      </c>
      <c r="AT97" s="69">
        <f t="shared" si="52"/>
        <v>0</v>
      </c>
      <c r="AU97" s="87">
        <f t="shared" si="71"/>
        <v>0</v>
      </c>
      <c r="AV97" s="88">
        <f t="shared" si="10"/>
        <v>0</v>
      </c>
      <c r="AW97" s="80">
        <f t="shared" si="75"/>
        <v>0</v>
      </c>
      <c r="AX97" s="81">
        <f t="shared" si="76"/>
        <v>0</v>
      </c>
      <c r="AY97" s="88">
        <f t="shared" si="77"/>
        <v>0</v>
      </c>
    </row>
    <row r="98" ht="15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75" t="s">
        <v>50</v>
      </c>
      <c r="AB98" s="76" t="s">
        <v>24</v>
      </c>
      <c r="AC98" s="56">
        <f>IF('Ship Data Imperial'!E99&gt;0,'Ship Data Imperial'!E99,AS98)</f>
        <v>0</v>
      </c>
      <c r="AD98" s="77"/>
      <c r="AE98" s="77"/>
      <c r="AF98" s="56">
        <f>IF('Ship Data Imperial'!H99&gt;0,'Ship Data Imperial'!H99,AS98)</f>
        <v>0</v>
      </c>
      <c r="AG98" s="79">
        <f t="shared" ref="AG98:AG135" si="78">(AC98+AF98)/2</f>
        <v>0</v>
      </c>
      <c r="AH98" s="80">
        <f t="shared" si="72"/>
        <v>0</v>
      </c>
      <c r="AI98" s="81">
        <f t="shared" si="73"/>
        <v>0</v>
      </c>
      <c r="AJ98" s="82">
        <f t="shared" si="74"/>
        <v>0</v>
      </c>
      <c r="AK98" s="83">
        <f t="shared" ref="AK98:AK113" si="79">IF(AC98&gt;0,$AG$136*0.85,0)</f>
        <v>0</v>
      </c>
      <c r="AL98" s="84">
        <f>IF(AC98&gt;0,Masts!$C$14*0.7,0)</f>
        <v>0</v>
      </c>
      <c r="AM98" s="85">
        <f t="shared" si="68"/>
        <v>0</v>
      </c>
      <c r="AN98" s="86">
        <f>IF(AC98&gt;0,$AG$136*0.64,0)</f>
        <v>0</v>
      </c>
      <c r="AO98" s="87">
        <f t="shared" ref="AO98:AO135" si="80">IF(AC98&gt;0,$AN$136*0.715,0)</f>
        <v>0</v>
      </c>
      <c r="AP98" s="68"/>
      <c r="AQ98" s="68"/>
      <c r="AR98" s="75" t="s">
        <v>50</v>
      </c>
      <c r="AS98" s="56">
        <f>'Ship Data Metric'!E99*0.03280839895</f>
        <v>0</v>
      </c>
      <c r="AT98" s="69">
        <f t="shared" si="52"/>
        <v>0</v>
      </c>
      <c r="AU98" s="87">
        <f t="shared" si="71"/>
        <v>0</v>
      </c>
      <c r="AV98" s="88">
        <f t="shared" ref="AV98:AV105" si="81">IF(AC98&gt;0,($AK$136/3)*4,0)</f>
        <v>0</v>
      </c>
      <c r="AW98" s="80">
        <f t="shared" si="75"/>
        <v>0</v>
      </c>
      <c r="AX98" s="81">
        <f t="shared" si="76"/>
        <v>0</v>
      </c>
      <c r="AY98" s="88">
        <f t="shared" si="77"/>
        <v>0</v>
      </c>
    </row>
    <row r="99" ht="15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75"/>
      <c r="AB99" s="76" t="s">
        <v>25</v>
      </c>
      <c r="AC99" s="56">
        <f>IF('Ship Data Imperial'!E100&gt;0,'Ship Data Imperial'!E100,AS99)</f>
        <v>0</v>
      </c>
      <c r="AD99" s="77"/>
      <c r="AE99" s="77"/>
      <c r="AF99" s="56">
        <f>IF('Ship Data Imperial'!H100&gt;0,'Ship Data Imperial'!H100,AS99)</f>
        <v>0</v>
      </c>
      <c r="AG99" s="79">
        <f t="shared" si="78"/>
        <v>0</v>
      </c>
      <c r="AH99" s="80">
        <f t="shared" si="72"/>
        <v>0</v>
      </c>
      <c r="AI99" s="81">
        <f t="shared" si="73"/>
        <v>0</v>
      </c>
      <c r="AJ99" s="82">
        <f t="shared" si="74"/>
        <v>0</v>
      </c>
      <c r="AK99" s="83">
        <f t="shared" si="79"/>
        <v>0</v>
      </c>
      <c r="AL99" s="84">
        <f>IF(AC99&gt;0,Masts!$C$14*0.7,0)</f>
        <v>0</v>
      </c>
      <c r="AM99" s="85">
        <f t="shared" si="68"/>
        <v>0</v>
      </c>
      <c r="AN99" s="86">
        <f t="shared" ref="AN99:AN105" si="82">IF(AC99&gt;0,$AG$136*0.6,0)</f>
        <v>0</v>
      </c>
      <c r="AO99" s="87">
        <f t="shared" si="80"/>
        <v>0</v>
      </c>
      <c r="AP99" s="68"/>
      <c r="AQ99" s="68"/>
      <c r="AR99" s="75"/>
      <c r="AS99" s="56">
        <f>'Ship Data Metric'!E100*0.03280839895</f>
        <v>0</v>
      </c>
      <c r="AT99" s="69">
        <f t="shared" si="52"/>
        <v>0</v>
      </c>
      <c r="AU99" s="87">
        <f t="shared" si="71"/>
        <v>0</v>
      </c>
      <c r="AV99" s="88">
        <f t="shared" si="81"/>
        <v>0</v>
      </c>
      <c r="AW99" s="80">
        <f t="shared" si="75"/>
        <v>0</v>
      </c>
      <c r="AX99" s="81">
        <f t="shared" si="76"/>
        <v>0</v>
      </c>
      <c r="AY99" s="88">
        <f t="shared" si="77"/>
        <v>0</v>
      </c>
    </row>
    <row r="100" ht="15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75"/>
      <c r="AB100" s="158" t="s">
        <v>40</v>
      </c>
      <c r="AC100" s="56">
        <f>IF('Ship Data Imperial'!E101&gt;0,'Ship Data Imperial'!E101,AS100)</f>
        <v>0</v>
      </c>
      <c r="AD100" s="77"/>
      <c r="AE100" s="77"/>
      <c r="AF100" s="56">
        <f>IF('Ship Data Imperial'!H101&gt;0,'Ship Data Imperial'!H101,AS100)</f>
        <v>0</v>
      </c>
      <c r="AG100" s="79">
        <f t="shared" si="78"/>
        <v>0</v>
      </c>
      <c r="AH100" s="80">
        <f t="shared" si="72"/>
        <v>0</v>
      </c>
      <c r="AI100" s="81">
        <f t="shared" si="73"/>
        <v>0</v>
      </c>
      <c r="AJ100" s="82">
        <f t="shared" si="74"/>
        <v>0</v>
      </c>
      <c r="AK100" s="83">
        <f t="shared" si="79"/>
        <v>0</v>
      </c>
      <c r="AL100" s="84">
        <f>IF(AC100&gt;0,Masts!$C$14*0.7,0)</f>
        <v>0</v>
      </c>
      <c r="AM100" s="85">
        <f t="shared" si="68"/>
        <v>0</v>
      </c>
      <c r="AN100" s="86">
        <f t="shared" si="82"/>
        <v>0</v>
      </c>
      <c r="AO100" s="87">
        <f t="shared" si="80"/>
        <v>0</v>
      </c>
      <c r="AP100" s="68"/>
      <c r="AQ100" s="68"/>
      <c r="AR100" s="75"/>
      <c r="AS100" s="56">
        <f>'Ship Data Metric'!E101*0.03280839895</f>
        <v>0</v>
      </c>
      <c r="AT100" s="69">
        <f t="shared" si="52"/>
        <v>0</v>
      </c>
      <c r="AU100" s="87">
        <f t="shared" si="71"/>
        <v>0</v>
      </c>
      <c r="AV100" s="88">
        <f t="shared" si="81"/>
        <v>0</v>
      </c>
      <c r="AW100" s="80">
        <f t="shared" si="75"/>
        <v>0</v>
      </c>
      <c r="AX100" s="81">
        <f t="shared" si="76"/>
        <v>0</v>
      </c>
      <c r="AY100" s="88">
        <f t="shared" si="77"/>
        <v>0</v>
      </c>
    </row>
    <row r="101" ht="15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75"/>
      <c r="AB101" s="158" t="s">
        <v>41</v>
      </c>
      <c r="AC101" s="56">
        <f>IF('Ship Data Imperial'!E102&gt;0,'Ship Data Imperial'!E102,AS101)</f>
        <v>0</v>
      </c>
      <c r="AD101" s="77"/>
      <c r="AE101" s="77"/>
      <c r="AF101" s="56">
        <f>IF('Ship Data Imperial'!H102&gt;0,'Ship Data Imperial'!H102,AS101)</f>
        <v>0</v>
      </c>
      <c r="AG101" s="79">
        <f t="shared" si="78"/>
        <v>0</v>
      </c>
      <c r="AH101" s="80">
        <f t="shared" si="72"/>
        <v>0</v>
      </c>
      <c r="AI101" s="81">
        <f t="shared" si="73"/>
        <v>0</v>
      </c>
      <c r="AJ101" s="82">
        <f t="shared" si="74"/>
        <v>0</v>
      </c>
      <c r="AK101" s="83">
        <f t="shared" si="79"/>
        <v>0</v>
      </c>
      <c r="AL101" s="84">
        <f>IF(AC101&gt;0,Masts!$C$14*0.7,0)</f>
        <v>0</v>
      </c>
      <c r="AM101" s="85">
        <f t="shared" si="68"/>
        <v>0</v>
      </c>
      <c r="AN101" s="86">
        <f t="shared" si="82"/>
        <v>0</v>
      </c>
      <c r="AO101" s="87">
        <f t="shared" si="80"/>
        <v>0</v>
      </c>
      <c r="AP101" s="68"/>
      <c r="AQ101" s="68"/>
      <c r="AR101" s="75"/>
      <c r="AS101" s="56">
        <f>'Ship Data Metric'!E102*0.03280839895</f>
        <v>0</v>
      </c>
      <c r="AT101" s="69">
        <f t="shared" si="52"/>
        <v>0</v>
      </c>
      <c r="AU101" s="87">
        <f t="shared" si="71"/>
        <v>0</v>
      </c>
      <c r="AV101" s="88">
        <f t="shared" si="81"/>
        <v>0</v>
      </c>
      <c r="AW101" s="80">
        <f t="shared" si="75"/>
        <v>0</v>
      </c>
      <c r="AX101" s="81">
        <f t="shared" si="76"/>
        <v>0</v>
      </c>
      <c r="AY101" s="88">
        <f t="shared" si="77"/>
        <v>0</v>
      </c>
    </row>
    <row r="102" ht="15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75"/>
      <c r="AB102" s="76" t="s">
        <v>27</v>
      </c>
      <c r="AC102" s="56">
        <f>IF('Ship Data Imperial'!E103&gt;0,'Ship Data Imperial'!E103,AS102)</f>
        <v>0</v>
      </c>
      <c r="AD102" s="77"/>
      <c r="AE102" s="77"/>
      <c r="AF102" s="56">
        <f>IF('Ship Data Imperial'!H103&gt;0,'Ship Data Imperial'!H103,AS102)</f>
        <v>0</v>
      </c>
      <c r="AG102" s="79">
        <f t="shared" si="78"/>
        <v>0</v>
      </c>
      <c r="AH102" s="80">
        <f t="shared" si="72"/>
        <v>0</v>
      </c>
      <c r="AI102" s="81">
        <f t="shared" si="73"/>
        <v>0</v>
      </c>
      <c r="AJ102" s="82">
        <f t="shared" si="74"/>
        <v>0</v>
      </c>
      <c r="AK102" s="83">
        <f t="shared" si="79"/>
        <v>0</v>
      </c>
      <c r="AL102" s="84">
        <f>IF(AC102&gt;0,Masts!$C$14*0.7,0)</f>
        <v>0</v>
      </c>
      <c r="AM102" s="85">
        <f t="shared" si="68"/>
        <v>0</v>
      </c>
      <c r="AN102" s="86">
        <f t="shared" si="82"/>
        <v>0</v>
      </c>
      <c r="AO102" s="87">
        <f t="shared" si="80"/>
        <v>0</v>
      </c>
      <c r="AP102" s="68"/>
      <c r="AQ102" s="68"/>
      <c r="AR102" s="75"/>
      <c r="AS102" s="56">
        <f>'Ship Data Metric'!E103*0.03280839895</f>
        <v>0</v>
      </c>
      <c r="AT102" s="69">
        <f t="shared" si="52"/>
        <v>0</v>
      </c>
      <c r="AU102" s="87">
        <f t="shared" si="71"/>
        <v>0</v>
      </c>
      <c r="AV102" s="88">
        <f t="shared" si="81"/>
        <v>0</v>
      </c>
      <c r="AW102" s="80">
        <f t="shared" si="75"/>
        <v>0</v>
      </c>
      <c r="AX102" s="81">
        <f t="shared" si="76"/>
        <v>0</v>
      </c>
      <c r="AY102" s="88">
        <f t="shared" si="77"/>
        <v>0</v>
      </c>
    </row>
    <row r="103" ht="15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75"/>
      <c r="AB103" s="76" t="s">
        <v>28</v>
      </c>
      <c r="AC103" s="56">
        <f>IF('Ship Data Imperial'!E104&gt;0,'Ship Data Imperial'!E104,AS103)</f>
        <v>39.29002625</v>
      </c>
      <c r="AD103" s="77"/>
      <c r="AE103" s="77"/>
      <c r="AF103" s="56">
        <f>IF('Ship Data Imperial'!H104&gt;0,'Ship Data Imperial'!H104,AS103)</f>
        <v>39.29002625</v>
      </c>
      <c r="AG103" s="79">
        <f t="shared" si="78"/>
        <v>39.29002625</v>
      </c>
      <c r="AH103" s="80">
        <f t="shared" si="72"/>
        <v>19.64501312</v>
      </c>
      <c r="AI103" s="81">
        <f t="shared" si="73"/>
        <v>35.36102362</v>
      </c>
      <c r="AJ103" s="82">
        <f t="shared" si="74"/>
        <v>17.68051181</v>
      </c>
      <c r="AK103" s="83">
        <f t="shared" si="79"/>
        <v>33.39652231</v>
      </c>
      <c r="AL103" s="84">
        <f>IF(AC103&gt;0,Masts!$C$14*0.7,0)</f>
        <v>16.50181102</v>
      </c>
      <c r="AM103" s="85">
        <f t="shared" si="68"/>
        <v>8.250905512</v>
      </c>
      <c r="AN103" s="86">
        <f t="shared" si="82"/>
        <v>23.57401575</v>
      </c>
      <c r="AO103" s="87">
        <f t="shared" si="80"/>
        <v>16.85542126</v>
      </c>
      <c r="AP103" s="68"/>
      <c r="AQ103" s="68"/>
      <c r="AR103" s="75"/>
      <c r="AS103" s="56">
        <f>'Ship Data Metric'!E104*0.03280839895</f>
        <v>39.29002625</v>
      </c>
      <c r="AT103" s="69">
        <f t="shared" si="52"/>
        <v>65.48337708</v>
      </c>
      <c r="AU103" s="87">
        <f t="shared" si="71"/>
        <v>58.93503937</v>
      </c>
      <c r="AV103" s="88">
        <f t="shared" si="81"/>
        <v>44.52869641</v>
      </c>
      <c r="AW103" s="80">
        <f t="shared" si="75"/>
        <v>6.286404199</v>
      </c>
      <c r="AX103" s="81">
        <f t="shared" si="76"/>
        <v>5.65776378</v>
      </c>
      <c r="AY103" s="88">
        <f t="shared" si="77"/>
        <v>4.40048294</v>
      </c>
    </row>
    <row r="104" ht="15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75"/>
      <c r="AB104" s="76" t="s">
        <v>29</v>
      </c>
      <c r="AC104" s="56">
        <f>IF('Ship Data Imperial'!E105&gt;0,'Ship Data Imperial'!E105,AS104)</f>
        <v>0</v>
      </c>
      <c r="AD104" s="77"/>
      <c r="AE104" s="77"/>
      <c r="AF104" s="56">
        <f>IF('Ship Data Imperial'!H105&gt;0,'Ship Data Imperial'!H105,AS104)</f>
        <v>0</v>
      </c>
      <c r="AG104" s="79">
        <f t="shared" si="78"/>
        <v>0</v>
      </c>
      <c r="AH104" s="80">
        <f t="shared" si="72"/>
        <v>0</v>
      </c>
      <c r="AI104" s="81">
        <f t="shared" si="73"/>
        <v>0</v>
      </c>
      <c r="AJ104" s="82">
        <f t="shared" si="74"/>
        <v>0</v>
      </c>
      <c r="AK104" s="83">
        <f t="shared" si="79"/>
        <v>0</v>
      </c>
      <c r="AL104" s="84">
        <f>IF(AC104&gt;0,Masts!$C$14*0.7,0)</f>
        <v>0</v>
      </c>
      <c r="AM104" s="85">
        <f t="shared" si="68"/>
        <v>0</v>
      </c>
      <c r="AN104" s="86">
        <f t="shared" si="82"/>
        <v>0</v>
      </c>
      <c r="AO104" s="87">
        <f t="shared" si="80"/>
        <v>0</v>
      </c>
      <c r="AP104" s="68"/>
      <c r="AQ104" s="68"/>
      <c r="AR104" s="75"/>
      <c r="AS104" s="56">
        <f>'Ship Data Metric'!E105*0.03280839895</f>
        <v>0</v>
      </c>
      <c r="AT104" s="69">
        <f t="shared" si="52"/>
        <v>0</v>
      </c>
      <c r="AU104" s="87">
        <f t="shared" si="71"/>
        <v>0</v>
      </c>
      <c r="AV104" s="88">
        <f t="shared" si="81"/>
        <v>0</v>
      </c>
      <c r="AW104" s="80">
        <f t="shared" si="75"/>
        <v>0</v>
      </c>
      <c r="AX104" s="81">
        <f t="shared" si="76"/>
        <v>0</v>
      </c>
      <c r="AY104" s="88">
        <f t="shared" si="77"/>
        <v>0</v>
      </c>
    </row>
    <row r="105" ht="15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75"/>
      <c r="AB105" s="158" t="s">
        <v>56</v>
      </c>
      <c r="AC105" s="56">
        <f>IF('Ship Data Imperial'!E106&gt;0,'Ship Data Imperial'!E106,AS105)</f>
        <v>0</v>
      </c>
      <c r="AD105" s="77"/>
      <c r="AE105" s="77"/>
      <c r="AF105" s="56">
        <f>IF('Ship Data Imperial'!H106&gt;0,'Ship Data Imperial'!H106,AS105)</f>
        <v>0</v>
      </c>
      <c r="AG105" s="79">
        <f t="shared" si="78"/>
        <v>0</v>
      </c>
      <c r="AH105" s="80">
        <f t="shared" si="72"/>
        <v>0</v>
      </c>
      <c r="AI105" s="81">
        <f t="shared" si="73"/>
        <v>0</v>
      </c>
      <c r="AJ105" s="82">
        <f t="shared" si="74"/>
        <v>0</v>
      </c>
      <c r="AK105" s="83">
        <f t="shared" si="79"/>
        <v>0</v>
      </c>
      <c r="AL105" s="84">
        <f>IF(AC105&gt;0,Masts!$C$14*0.71,0)</f>
        <v>0</v>
      </c>
      <c r="AM105" s="85">
        <f t="shared" si="68"/>
        <v>0</v>
      </c>
      <c r="AN105" s="86">
        <f t="shared" si="82"/>
        <v>0</v>
      </c>
      <c r="AO105" s="87">
        <f t="shared" si="80"/>
        <v>0</v>
      </c>
      <c r="AP105" s="68"/>
      <c r="AQ105" s="68"/>
      <c r="AR105" s="75"/>
      <c r="AS105" s="56">
        <f>'Ship Data Metric'!E106*0.03280839895</f>
        <v>0</v>
      </c>
      <c r="AT105" s="69">
        <f t="shared" si="52"/>
        <v>0</v>
      </c>
      <c r="AU105" s="87">
        <f t="shared" si="71"/>
        <v>0</v>
      </c>
      <c r="AV105" s="88">
        <f t="shared" si="81"/>
        <v>0</v>
      </c>
      <c r="AW105" s="80">
        <f t="shared" si="75"/>
        <v>0</v>
      </c>
      <c r="AX105" s="81">
        <f t="shared" si="76"/>
        <v>0</v>
      </c>
      <c r="AY105" s="88">
        <f t="shared" si="77"/>
        <v>0</v>
      </c>
    </row>
    <row r="106" ht="15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75" t="s">
        <v>52</v>
      </c>
      <c r="AB106" s="76" t="s">
        <v>24</v>
      </c>
      <c r="AC106" s="56">
        <f>IF('Ship Data Imperial'!E107&gt;0,'Ship Data Imperial'!E107,AS106)</f>
        <v>0</v>
      </c>
      <c r="AD106" s="77"/>
      <c r="AE106" s="77"/>
      <c r="AF106" s="56">
        <f>IF('Ship Data Imperial'!H107&gt;0,'Ship Data Imperial'!H107,AS106)</f>
        <v>0</v>
      </c>
      <c r="AG106" s="79">
        <f t="shared" si="78"/>
        <v>0</v>
      </c>
      <c r="AH106" s="80">
        <f t="shared" si="72"/>
        <v>0</v>
      </c>
      <c r="AI106" s="81">
        <f t="shared" si="73"/>
        <v>0</v>
      </c>
      <c r="AJ106" s="82">
        <f t="shared" si="74"/>
        <v>0</v>
      </c>
      <c r="AK106" s="83">
        <f t="shared" si="79"/>
        <v>0</v>
      </c>
      <c r="AL106" s="84">
        <f>IF(AC106&gt;0,Masts!$C$14*0.7,0)</f>
        <v>0</v>
      </c>
      <c r="AM106" s="85">
        <f t="shared" si="68"/>
        <v>0</v>
      </c>
      <c r="AN106" s="86">
        <f>IF(AC106&gt;0,$AG$136*0.64,0)</f>
        <v>0</v>
      </c>
      <c r="AO106" s="87">
        <f t="shared" si="80"/>
        <v>0</v>
      </c>
      <c r="AP106" s="68"/>
      <c r="AQ106" s="68"/>
      <c r="AR106" s="75" t="s">
        <v>52</v>
      </c>
      <c r="AS106" s="56">
        <f>'Ship Data Metric'!E107*0.03280839895</f>
        <v>0</v>
      </c>
      <c r="AT106" s="69">
        <f t="shared" si="52"/>
        <v>0</v>
      </c>
      <c r="AU106" s="87">
        <f t="shared" si="71"/>
        <v>0</v>
      </c>
      <c r="AV106" s="88">
        <f t="shared" ref="AV106:AV135" si="83">IF(AC106&gt;0,($AK$136/3)*4.75,0)</f>
        <v>0</v>
      </c>
      <c r="AW106" s="80">
        <f t="shared" si="75"/>
        <v>0</v>
      </c>
      <c r="AX106" s="81">
        <f t="shared" si="76"/>
        <v>0</v>
      </c>
      <c r="AY106" s="88">
        <f t="shared" si="77"/>
        <v>0</v>
      </c>
    </row>
    <row r="107" ht="15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75"/>
      <c r="AB107" s="76" t="s">
        <v>25</v>
      </c>
      <c r="AC107" s="56">
        <f>IF('Ship Data Imperial'!E108&gt;0,'Ship Data Imperial'!E108,AS107)</f>
        <v>0</v>
      </c>
      <c r="AD107" s="77"/>
      <c r="AE107" s="77"/>
      <c r="AF107" s="56">
        <f>IF('Ship Data Imperial'!H108&gt;0,'Ship Data Imperial'!H108,AS107)</f>
        <v>0</v>
      </c>
      <c r="AG107" s="79">
        <f t="shared" si="78"/>
        <v>0</v>
      </c>
      <c r="AH107" s="80">
        <f t="shared" si="72"/>
        <v>0</v>
      </c>
      <c r="AI107" s="81">
        <f t="shared" si="73"/>
        <v>0</v>
      </c>
      <c r="AJ107" s="82">
        <f t="shared" si="74"/>
        <v>0</v>
      </c>
      <c r="AK107" s="83">
        <f t="shared" si="79"/>
        <v>0</v>
      </c>
      <c r="AL107" s="84">
        <f>IF(AC107&gt;0,Masts!$C$14*0.7,0)</f>
        <v>0</v>
      </c>
      <c r="AM107" s="85">
        <f t="shared" si="68"/>
        <v>0</v>
      </c>
      <c r="AN107" s="86">
        <f t="shared" ref="AN107:AN113" si="84">IF(AC107&gt;0,$AG$136*0.6,0)</f>
        <v>0</v>
      </c>
      <c r="AO107" s="87">
        <f t="shared" si="80"/>
        <v>0</v>
      </c>
      <c r="AP107" s="68"/>
      <c r="AQ107" s="68"/>
      <c r="AR107" s="75"/>
      <c r="AS107" s="56">
        <f>'Ship Data Metric'!E108*0.03280839895</f>
        <v>0</v>
      </c>
      <c r="AT107" s="69">
        <f t="shared" si="52"/>
        <v>0</v>
      </c>
      <c r="AU107" s="87">
        <f t="shared" si="71"/>
        <v>0</v>
      </c>
      <c r="AV107" s="88">
        <f t="shared" si="83"/>
        <v>0</v>
      </c>
      <c r="AW107" s="80">
        <f t="shared" si="75"/>
        <v>0</v>
      </c>
      <c r="AX107" s="81">
        <f t="shared" si="76"/>
        <v>0</v>
      </c>
      <c r="AY107" s="88">
        <f t="shared" si="77"/>
        <v>0</v>
      </c>
    </row>
    <row r="108" ht="15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75"/>
      <c r="AB108" s="158" t="s">
        <v>40</v>
      </c>
      <c r="AC108" s="56">
        <f>IF('Ship Data Imperial'!E109&gt;0,'Ship Data Imperial'!E109,AS108)</f>
        <v>0</v>
      </c>
      <c r="AD108" s="77"/>
      <c r="AE108" s="77"/>
      <c r="AF108" s="56">
        <f>IF('Ship Data Imperial'!H109&gt;0,'Ship Data Imperial'!H109,AS108)</f>
        <v>0</v>
      </c>
      <c r="AG108" s="79">
        <f t="shared" si="78"/>
        <v>0</v>
      </c>
      <c r="AH108" s="80">
        <f t="shared" si="72"/>
        <v>0</v>
      </c>
      <c r="AI108" s="81">
        <f t="shared" si="73"/>
        <v>0</v>
      </c>
      <c r="AJ108" s="82">
        <f t="shared" si="74"/>
        <v>0</v>
      </c>
      <c r="AK108" s="83">
        <f t="shared" si="79"/>
        <v>0</v>
      </c>
      <c r="AL108" s="84">
        <f>IF(AC108&gt;0,Masts!$C$14*0.7,0)</f>
        <v>0</v>
      </c>
      <c r="AM108" s="85">
        <f t="shared" si="68"/>
        <v>0</v>
      </c>
      <c r="AN108" s="86">
        <f t="shared" si="84"/>
        <v>0</v>
      </c>
      <c r="AO108" s="87">
        <f t="shared" si="80"/>
        <v>0</v>
      </c>
      <c r="AP108" s="68"/>
      <c r="AQ108" s="68"/>
      <c r="AR108" s="75"/>
      <c r="AS108" s="56">
        <f>'Ship Data Metric'!E109*0.03280839895</f>
        <v>0</v>
      </c>
      <c r="AT108" s="69">
        <f t="shared" si="52"/>
        <v>0</v>
      </c>
      <c r="AU108" s="87">
        <f t="shared" si="71"/>
        <v>0</v>
      </c>
      <c r="AV108" s="88">
        <f t="shared" si="83"/>
        <v>0</v>
      </c>
      <c r="AW108" s="80">
        <f t="shared" si="75"/>
        <v>0</v>
      </c>
      <c r="AX108" s="81">
        <f t="shared" si="76"/>
        <v>0</v>
      </c>
      <c r="AY108" s="88">
        <f t="shared" si="77"/>
        <v>0</v>
      </c>
    </row>
    <row r="109" ht="15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75"/>
      <c r="AB109" s="158" t="s">
        <v>41</v>
      </c>
      <c r="AC109" s="56">
        <f>IF('Ship Data Imperial'!E110&gt;0,'Ship Data Imperial'!E110,AS109)</f>
        <v>0</v>
      </c>
      <c r="AD109" s="77"/>
      <c r="AE109" s="77"/>
      <c r="AF109" s="56">
        <f>IF('Ship Data Imperial'!H110&gt;0,'Ship Data Imperial'!H110,AS109)</f>
        <v>0</v>
      </c>
      <c r="AG109" s="79">
        <f t="shared" si="78"/>
        <v>0</v>
      </c>
      <c r="AH109" s="80">
        <f t="shared" si="72"/>
        <v>0</v>
      </c>
      <c r="AI109" s="81">
        <f t="shared" si="73"/>
        <v>0</v>
      </c>
      <c r="AJ109" s="82">
        <f t="shared" si="74"/>
        <v>0</v>
      </c>
      <c r="AK109" s="83">
        <f t="shared" si="79"/>
        <v>0</v>
      </c>
      <c r="AL109" s="84">
        <f>IF(AC109&gt;0,Masts!$C$14*0.7,0)</f>
        <v>0</v>
      </c>
      <c r="AM109" s="85">
        <f t="shared" si="68"/>
        <v>0</v>
      </c>
      <c r="AN109" s="86">
        <f t="shared" si="84"/>
        <v>0</v>
      </c>
      <c r="AO109" s="87">
        <f t="shared" si="80"/>
        <v>0</v>
      </c>
      <c r="AP109" s="68"/>
      <c r="AQ109" s="68"/>
      <c r="AR109" s="75"/>
      <c r="AS109" s="56">
        <f>'Ship Data Metric'!E110*0.03280839895</f>
        <v>0</v>
      </c>
      <c r="AT109" s="69">
        <f t="shared" si="52"/>
        <v>0</v>
      </c>
      <c r="AU109" s="87">
        <f t="shared" si="71"/>
        <v>0</v>
      </c>
      <c r="AV109" s="88">
        <f t="shared" si="83"/>
        <v>0</v>
      </c>
      <c r="AW109" s="80">
        <f t="shared" si="75"/>
        <v>0</v>
      </c>
      <c r="AX109" s="81">
        <f t="shared" si="76"/>
        <v>0</v>
      </c>
      <c r="AY109" s="88">
        <f t="shared" si="77"/>
        <v>0</v>
      </c>
    </row>
    <row r="110" ht="15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75"/>
      <c r="AB110" s="76" t="s">
        <v>27</v>
      </c>
      <c r="AC110" s="56">
        <f>IF('Ship Data Imperial'!E111&gt;0,'Ship Data Imperial'!E111,AS110)</f>
        <v>0</v>
      </c>
      <c r="AD110" s="77"/>
      <c r="AE110" s="77"/>
      <c r="AF110" s="56">
        <f>IF('Ship Data Imperial'!H111&gt;0,'Ship Data Imperial'!H111,AS110)</f>
        <v>0</v>
      </c>
      <c r="AG110" s="79">
        <f t="shared" si="78"/>
        <v>0</v>
      </c>
      <c r="AH110" s="80">
        <f t="shared" si="72"/>
        <v>0</v>
      </c>
      <c r="AI110" s="81">
        <f t="shared" si="73"/>
        <v>0</v>
      </c>
      <c r="AJ110" s="82">
        <f t="shared" si="74"/>
        <v>0</v>
      </c>
      <c r="AK110" s="83">
        <f t="shared" si="79"/>
        <v>0</v>
      </c>
      <c r="AL110" s="84">
        <f>IF(AC110&gt;0,Masts!$C$14*0.7,0)</f>
        <v>0</v>
      </c>
      <c r="AM110" s="85">
        <f t="shared" si="68"/>
        <v>0</v>
      </c>
      <c r="AN110" s="86">
        <f t="shared" si="84"/>
        <v>0</v>
      </c>
      <c r="AO110" s="87">
        <f t="shared" si="80"/>
        <v>0</v>
      </c>
      <c r="AP110" s="68"/>
      <c r="AQ110" s="68"/>
      <c r="AR110" s="75"/>
      <c r="AS110" s="56">
        <f>'Ship Data Metric'!E111*0.03280839895</f>
        <v>0</v>
      </c>
      <c r="AT110" s="69">
        <f t="shared" si="52"/>
        <v>0</v>
      </c>
      <c r="AU110" s="87">
        <f t="shared" si="71"/>
        <v>0</v>
      </c>
      <c r="AV110" s="88">
        <f t="shared" si="83"/>
        <v>0</v>
      </c>
      <c r="AW110" s="80">
        <f t="shared" si="75"/>
        <v>0</v>
      </c>
      <c r="AX110" s="81">
        <f t="shared" si="76"/>
        <v>0</v>
      </c>
      <c r="AY110" s="88">
        <f t="shared" si="77"/>
        <v>0</v>
      </c>
    </row>
    <row r="111" ht="15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75"/>
      <c r="AB111" s="76" t="s">
        <v>28</v>
      </c>
      <c r="AC111" s="56">
        <f>IF('Ship Data Imperial'!E112&gt;0,'Ship Data Imperial'!E112,AS111)</f>
        <v>0</v>
      </c>
      <c r="AD111" s="77"/>
      <c r="AE111" s="77"/>
      <c r="AF111" s="56">
        <f>IF('Ship Data Imperial'!H112&gt;0,'Ship Data Imperial'!H112,AS111)</f>
        <v>0</v>
      </c>
      <c r="AG111" s="79">
        <f t="shared" si="78"/>
        <v>0</v>
      </c>
      <c r="AH111" s="80">
        <f t="shared" si="72"/>
        <v>0</v>
      </c>
      <c r="AI111" s="81">
        <f t="shared" si="73"/>
        <v>0</v>
      </c>
      <c r="AJ111" s="82">
        <f t="shared" si="74"/>
        <v>0</v>
      </c>
      <c r="AK111" s="83">
        <f t="shared" si="79"/>
        <v>0</v>
      </c>
      <c r="AL111" s="84">
        <f>IF(AC111&gt;0,Masts!$C$14*0.7,0)</f>
        <v>0</v>
      </c>
      <c r="AM111" s="85">
        <f t="shared" si="68"/>
        <v>0</v>
      </c>
      <c r="AN111" s="86">
        <f t="shared" si="84"/>
        <v>0</v>
      </c>
      <c r="AO111" s="87">
        <f t="shared" si="80"/>
        <v>0</v>
      </c>
      <c r="AP111" s="68"/>
      <c r="AQ111" s="68"/>
      <c r="AR111" s="75"/>
      <c r="AS111" s="56">
        <f>'Ship Data Metric'!E112*0.03280839895</f>
        <v>0</v>
      </c>
      <c r="AT111" s="69">
        <f t="shared" si="52"/>
        <v>0</v>
      </c>
      <c r="AU111" s="87">
        <f t="shared" si="71"/>
        <v>0</v>
      </c>
      <c r="AV111" s="88">
        <f t="shared" si="83"/>
        <v>0</v>
      </c>
      <c r="AW111" s="80">
        <f t="shared" si="75"/>
        <v>0</v>
      </c>
      <c r="AX111" s="81">
        <f t="shared" si="76"/>
        <v>0</v>
      </c>
      <c r="AY111" s="88">
        <f t="shared" si="77"/>
        <v>0</v>
      </c>
    </row>
    <row r="112" ht="15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75"/>
      <c r="AB112" s="76" t="s">
        <v>29</v>
      </c>
      <c r="AC112" s="56">
        <f>IF('Ship Data Imperial'!E113&gt;0,'Ship Data Imperial'!E113,AS112)</f>
        <v>0</v>
      </c>
      <c r="AD112" s="77"/>
      <c r="AE112" s="77"/>
      <c r="AF112" s="56">
        <f>IF('Ship Data Imperial'!H113&gt;0,'Ship Data Imperial'!H113,AS112)</f>
        <v>0</v>
      </c>
      <c r="AG112" s="79">
        <f t="shared" si="78"/>
        <v>0</v>
      </c>
      <c r="AH112" s="80">
        <f t="shared" si="72"/>
        <v>0</v>
      </c>
      <c r="AI112" s="81">
        <f t="shared" si="73"/>
        <v>0</v>
      </c>
      <c r="AJ112" s="82">
        <f t="shared" si="74"/>
        <v>0</v>
      </c>
      <c r="AK112" s="83">
        <f t="shared" si="79"/>
        <v>0</v>
      </c>
      <c r="AL112" s="84">
        <f>IF(AC112&gt;0,Masts!$C$14*0.7,0)</f>
        <v>0</v>
      </c>
      <c r="AM112" s="85">
        <f t="shared" si="68"/>
        <v>0</v>
      </c>
      <c r="AN112" s="86">
        <f t="shared" si="84"/>
        <v>0</v>
      </c>
      <c r="AO112" s="87">
        <f t="shared" si="80"/>
        <v>0</v>
      </c>
      <c r="AP112" s="68"/>
      <c r="AQ112" s="68"/>
      <c r="AR112" s="75"/>
      <c r="AS112" s="56">
        <f>'Ship Data Metric'!E113*0.03280839895</f>
        <v>0</v>
      </c>
      <c r="AT112" s="69">
        <f t="shared" si="52"/>
        <v>0</v>
      </c>
      <c r="AU112" s="87">
        <f t="shared" si="71"/>
        <v>0</v>
      </c>
      <c r="AV112" s="88">
        <f t="shared" si="83"/>
        <v>0</v>
      </c>
      <c r="AW112" s="80">
        <f t="shared" si="75"/>
        <v>0</v>
      </c>
      <c r="AX112" s="81">
        <f t="shared" si="76"/>
        <v>0</v>
      </c>
      <c r="AY112" s="88">
        <f t="shared" si="77"/>
        <v>0</v>
      </c>
    </row>
    <row r="113" ht="15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75"/>
      <c r="AB113" s="158" t="s">
        <v>56</v>
      </c>
      <c r="AC113" s="56">
        <f>IF('Ship Data Imperial'!E114&gt;0,'Ship Data Imperial'!E114,AS113)</f>
        <v>0</v>
      </c>
      <c r="AD113" s="77"/>
      <c r="AE113" s="77"/>
      <c r="AF113" s="56">
        <f>IF('Ship Data Imperial'!H114&gt;0,'Ship Data Imperial'!H114,AS113)</f>
        <v>0</v>
      </c>
      <c r="AG113" s="79">
        <f t="shared" si="78"/>
        <v>0</v>
      </c>
      <c r="AH113" s="80">
        <f t="shared" si="72"/>
        <v>0</v>
      </c>
      <c r="AI113" s="81">
        <f t="shared" si="73"/>
        <v>0</v>
      </c>
      <c r="AJ113" s="82">
        <f t="shared" si="74"/>
        <v>0</v>
      </c>
      <c r="AK113" s="83">
        <f t="shared" si="79"/>
        <v>0</v>
      </c>
      <c r="AL113" s="84">
        <f>IF(AC113&gt;0,Masts!$C$14*0.71,0)</f>
        <v>0</v>
      </c>
      <c r="AM113" s="85">
        <f t="shared" si="68"/>
        <v>0</v>
      </c>
      <c r="AN113" s="86">
        <f t="shared" si="84"/>
        <v>0</v>
      </c>
      <c r="AO113" s="87">
        <f t="shared" si="80"/>
        <v>0</v>
      </c>
      <c r="AP113" s="68"/>
      <c r="AQ113" s="68"/>
      <c r="AR113" s="75"/>
      <c r="AS113" s="56">
        <f>'Ship Data Metric'!E114*0.03280839895</f>
        <v>0</v>
      </c>
      <c r="AT113" s="69">
        <f t="shared" si="52"/>
        <v>0</v>
      </c>
      <c r="AU113" s="87">
        <f t="shared" si="71"/>
        <v>0</v>
      </c>
      <c r="AV113" s="88">
        <f t="shared" si="83"/>
        <v>0</v>
      </c>
      <c r="AW113" s="80">
        <f t="shared" si="75"/>
        <v>0</v>
      </c>
      <c r="AX113" s="81">
        <f t="shared" si="76"/>
        <v>0</v>
      </c>
      <c r="AY113" s="88">
        <f t="shared" si="77"/>
        <v>0</v>
      </c>
    </row>
    <row r="114" ht="15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75" t="s">
        <v>53</v>
      </c>
      <c r="AB114" s="76" t="s">
        <v>24</v>
      </c>
      <c r="AC114" s="56">
        <f>IF('Ship Data Imperial'!E115&gt;0,'Ship Data Imperial'!E115,AS114)</f>
        <v>0</v>
      </c>
      <c r="AD114" s="77"/>
      <c r="AE114" s="77"/>
      <c r="AF114" s="56">
        <f>IF('Ship Data Imperial'!H115&gt;0,'Ship Data Imperial'!H115,AS114)</f>
        <v>0</v>
      </c>
      <c r="AG114" s="79">
        <f t="shared" si="78"/>
        <v>0</v>
      </c>
      <c r="AH114" s="80">
        <f t="shared" si="72"/>
        <v>0</v>
      </c>
      <c r="AI114" s="81">
        <f t="shared" si="73"/>
        <v>0</v>
      </c>
      <c r="AJ114" s="82">
        <f t="shared" si="74"/>
        <v>0</v>
      </c>
      <c r="AK114" s="83">
        <f>IF(AC114&gt;0,$AG$136*0.87,0)</f>
        <v>0</v>
      </c>
      <c r="AL114" s="84">
        <f>IF(AC114&gt;0,Masts!$C$14*0.75,0)</f>
        <v>0</v>
      </c>
      <c r="AM114" s="85">
        <f t="shared" si="68"/>
        <v>0</v>
      </c>
      <c r="AN114" s="86">
        <f t="shared" ref="AN114:AN115" si="85">IF(AC114&gt;0,$AG$136*0.64,0)</f>
        <v>0</v>
      </c>
      <c r="AO114" s="87">
        <f t="shared" si="80"/>
        <v>0</v>
      </c>
      <c r="AP114" s="68"/>
      <c r="AQ114" s="68"/>
      <c r="AR114" s="75" t="s">
        <v>53</v>
      </c>
      <c r="AS114" s="56">
        <f>'Ship Data Metric'!E115*0.03280839895</f>
        <v>0</v>
      </c>
      <c r="AT114" s="69">
        <f t="shared" si="52"/>
        <v>0</v>
      </c>
      <c r="AU114" s="87">
        <f t="shared" si="71"/>
        <v>0</v>
      </c>
      <c r="AV114" s="88">
        <f t="shared" si="83"/>
        <v>0</v>
      </c>
      <c r="AW114" s="80">
        <f t="shared" si="75"/>
        <v>0</v>
      </c>
      <c r="AX114" s="81">
        <f t="shared" si="76"/>
        <v>0</v>
      </c>
      <c r="AY114" s="88">
        <f t="shared" si="77"/>
        <v>0</v>
      </c>
    </row>
    <row r="115" ht="15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75"/>
      <c r="AB115" s="76" t="s">
        <v>25</v>
      </c>
      <c r="AC115" s="56">
        <f>IF('Ship Data Imperial'!E116&gt;0,'Ship Data Imperial'!E116,AS115)</f>
        <v>0</v>
      </c>
      <c r="AD115" s="77"/>
      <c r="AE115" s="77"/>
      <c r="AF115" s="56">
        <f>IF('Ship Data Imperial'!H116&gt;0,'Ship Data Imperial'!H116,AS115)</f>
        <v>0</v>
      </c>
      <c r="AG115" s="79">
        <f t="shared" si="78"/>
        <v>0</v>
      </c>
      <c r="AH115" s="80">
        <f t="shared" si="72"/>
        <v>0</v>
      </c>
      <c r="AI115" s="81">
        <f t="shared" si="73"/>
        <v>0</v>
      </c>
      <c r="AJ115" s="82">
        <f t="shared" si="74"/>
        <v>0</v>
      </c>
      <c r="AK115" s="83">
        <f>IF(AC115&gt;0,$AG$136*0.86,0)</f>
        <v>0</v>
      </c>
      <c r="AL115" s="84">
        <f>IF(AC115&gt;0,Masts!$C$14*0.75,0)</f>
        <v>0</v>
      </c>
      <c r="AM115" s="85">
        <f t="shared" si="68"/>
        <v>0</v>
      </c>
      <c r="AN115" s="86">
        <f t="shared" si="85"/>
        <v>0</v>
      </c>
      <c r="AO115" s="87">
        <f t="shared" si="80"/>
        <v>0</v>
      </c>
      <c r="AP115" s="68"/>
      <c r="AQ115" s="68"/>
      <c r="AR115" s="75"/>
      <c r="AS115" s="56">
        <f>'Ship Data Metric'!E116*0.03280839895</f>
        <v>0</v>
      </c>
      <c r="AT115" s="69">
        <f t="shared" si="52"/>
        <v>0</v>
      </c>
      <c r="AU115" s="87">
        <f t="shared" si="71"/>
        <v>0</v>
      </c>
      <c r="AV115" s="88">
        <f t="shared" si="83"/>
        <v>0</v>
      </c>
      <c r="AW115" s="80">
        <f t="shared" si="75"/>
        <v>0</v>
      </c>
      <c r="AX115" s="81">
        <f t="shared" si="76"/>
        <v>0</v>
      </c>
      <c r="AY115" s="88">
        <f t="shared" si="77"/>
        <v>0</v>
      </c>
    </row>
    <row r="116" ht="15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75"/>
      <c r="AB116" s="76" t="s">
        <v>26</v>
      </c>
      <c r="AC116" s="56">
        <f>IF('Ship Data Imperial'!E117&gt;0,'Ship Data Imperial'!E117,AS116)</f>
        <v>0</v>
      </c>
      <c r="AD116" s="77"/>
      <c r="AE116" s="77"/>
      <c r="AF116" s="56">
        <f>IF('Ship Data Imperial'!H117&gt;0,'Ship Data Imperial'!H117,AS116)</f>
        <v>0</v>
      </c>
      <c r="AG116" s="79">
        <f t="shared" si="78"/>
        <v>0</v>
      </c>
      <c r="AH116" s="80">
        <f t="shared" si="72"/>
        <v>0</v>
      </c>
      <c r="AI116" s="81">
        <f t="shared" si="73"/>
        <v>0</v>
      </c>
      <c r="AJ116" s="82">
        <f t="shared" si="74"/>
        <v>0</v>
      </c>
      <c r="AK116" s="83">
        <f t="shared" ref="AK116:AK120" si="86">IF(AC116&gt;0,$AG$136*0.83,0)</f>
        <v>0</v>
      </c>
      <c r="AL116" s="84">
        <f>IF(AC116&gt;0,Masts!$C$14*0.75,0)</f>
        <v>0</v>
      </c>
      <c r="AM116" s="85">
        <f t="shared" si="68"/>
        <v>0</v>
      </c>
      <c r="AN116" s="86">
        <f t="shared" ref="AN116:AN135" si="87">IF(AC116&gt;0,$AG$136*0.6,0)</f>
        <v>0</v>
      </c>
      <c r="AO116" s="87">
        <f t="shared" si="80"/>
        <v>0</v>
      </c>
      <c r="AP116" s="68"/>
      <c r="AQ116" s="68"/>
      <c r="AR116" s="75"/>
      <c r="AS116" s="56">
        <f>'Ship Data Metric'!E117*0.03280839895</f>
        <v>0</v>
      </c>
      <c r="AT116" s="69">
        <f t="shared" si="52"/>
        <v>0</v>
      </c>
      <c r="AU116" s="87">
        <f t="shared" si="71"/>
        <v>0</v>
      </c>
      <c r="AV116" s="88">
        <f t="shared" si="83"/>
        <v>0</v>
      </c>
      <c r="AW116" s="80">
        <f t="shared" si="75"/>
        <v>0</v>
      </c>
      <c r="AX116" s="81">
        <f t="shared" si="76"/>
        <v>0</v>
      </c>
      <c r="AY116" s="88">
        <f t="shared" si="77"/>
        <v>0</v>
      </c>
    </row>
    <row r="117" ht="15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75"/>
      <c r="AB117" s="76" t="s">
        <v>27</v>
      </c>
      <c r="AC117" s="56">
        <f>IF('Ship Data Imperial'!E118&gt;0,'Ship Data Imperial'!E118,AS117)</f>
        <v>0</v>
      </c>
      <c r="AD117" s="77"/>
      <c r="AE117" s="77"/>
      <c r="AF117" s="56">
        <f>IF('Ship Data Imperial'!H118&gt;0,'Ship Data Imperial'!H118,AS117)</f>
        <v>0</v>
      </c>
      <c r="AG117" s="79">
        <f t="shared" si="78"/>
        <v>0</v>
      </c>
      <c r="AH117" s="80">
        <f t="shared" si="72"/>
        <v>0</v>
      </c>
      <c r="AI117" s="81">
        <f t="shared" si="73"/>
        <v>0</v>
      </c>
      <c r="AJ117" s="82">
        <f t="shared" si="74"/>
        <v>0</v>
      </c>
      <c r="AK117" s="83">
        <f t="shared" si="86"/>
        <v>0</v>
      </c>
      <c r="AL117" s="84">
        <f>IF(AC117&gt;0,Masts!$C$14*0.75,0)</f>
        <v>0</v>
      </c>
      <c r="AM117" s="85">
        <f t="shared" si="68"/>
        <v>0</v>
      </c>
      <c r="AN117" s="86">
        <f t="shared" si="87"/>
        <v>0</v>
      </c>
      <c r="AO117" s="87">
        <f t="shared" si="80"/>
        <v>0</v>
      </c>
      <c r="AP117" s="68"/>
      <c r="AQ117" s="68"/>
      <c r="AR117" s="75"/>
      <c r="AS117" s="56">
        <f>'Ship Data Metric'!E118*0.03280839895</f>
        <v>0</v>
      </c>
      <c r="AT117" s="69">
        <f t="shared" si="52"/>
        <v>0</v>
      </c>
      <c r="AU117" s="87">
        <f t="shared" si="71"/>
        <v>0</v>
      </c>
      <c r="AV117" s="88">
        <f t="shared" si="83"/>
        <v>0</v>
      </c>
      <c r="AW117" s="80">
        <f t="shared" si="75"/>
        <v>0</v>
      </c>
      <c r="AX117" s="81">
        <f t="shared" si="76"/>
        <v>0</v>
      </c>
      <c r="AY117" s="88">
        <f t="shared" si="77"/>
        <v>0</v>
      </c>
    </row>
    <row r="118" ht="15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75"/>
      <c r="AB118" s="76" t="s">
        <v>28</v>
      </c>
      <c r="AC118" s="56">
        <f>IF('Ship Data Imperial'!E119&gt;0,'Ship Data Imperial'!E119,AS118)</f>
        <v>0</v>
      </c>
      <c r="AD118" s="77"/>
      <c r="AE118" s="77"/>
      <c r="AF118" s="56">
        <f>IF('Ship Data Imperial'!H119&gt;0,'Ship Data Imperial'!H119,AS118)</f>
        <v>0</v>
      </c>
      <c r="AG118" s="79">
        <f t="shared" si="78"/>
        <v>0</v>
      </c>
      <c r="AH118" s="80">
        <f t="shared" si="72"/>
        <v>0</v>
      </c>
      <c r="AI118" s="81">
        <f t="shared" si="73"/>
        <v>0</v>
      </c>
      <c r="AJ118" s="82">
        <f t="shared" si="74"/>
        <v>0</v>
      </c>
      <c r="AK118" s="83">
        <f t="shared" si="86"/>
        <v>0</v>
      </c>
      <c r="AL118" s="84">
        <f>IF(AC118&gt;0,Masts!$C$14*0.75,0)</f>
        <v>0</v>
      </c>
      <c r="AM118" s="85">
        <f t="shared" si="68"/>
        <v>0</v>
      </c>
      <c r="AN118" s="86">
        <f t="shared" si="87"/>
        <v>0</v>
      </c>
      <c r="AO118" s="87">
        <f t="shared" si="80"/>
        <v>0</v>
      </c>
      <c r="AP118" s="68"/>
      <c r="AQ118" s="68"/>
      <c r="AR118" s="75"/>
      <c r="AS118" s="56">
        <f>'Ship Data Metric'!E119*0.03280839895</f>
        <v>0</v>
      </c>
      <c r="AT118" s="69">
        <f t="shared" si="52"/>
        <v>0</v>
      </c>
      <c r="AU118" s="87">
        <f t="shared" si="71"/>
        <v>0</v>
      </c>
      <c r="AV118" s="88">
        <f t="shared" si="83"/>
        <v>0</v>
      </c>
      <c r="AW118" s="80">
        <f t="shared" si="75"/>
        <v>0</v>
      </c>
      <c r="AX118" s="81">
        <f t="shared" si="76"/>
        <v>0</v>
      </c>
      <c r="AY118" s="88">
        <f t="shared" si="77"/>
        <v>0</v>
      </c>
    </row>
    <row r="119" ht="15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75"/>
      <c r="AB119" s="76" t="s">
        <v>29</v>
      </c>
      <c r="AC119" s="56">
        <f>IF('Ship Data Imperial'!E120&gt;0,'Ship Data Imperial'!E120,AS119)</f>
        <v>0</v>
      </c>
      <c r="AD119" s="77"/>
      <c r="AE119" s="77"/>
      <c r="AF119" s="56">
        <f>IF('Ship Data Imperial'!H120&gt;0,'Ship Data Imperial'!H120,AS119)</f>
        <v>0</v>
      </c>
      <c r="AG119" s="79">
        <f t="shared" si="78"/>
        <v>0</v>
      </c>
      <c r="AH119" s="80">
        <f t="shared" si="72"/>
        <v>0</v>
      </c>
      <c r="AI119" s="81">
        <f t="shared" si="73"/>
        <v>0</v>
      </c>
      <c r="AJ119" s="82">
        <f t="shared" si="74"/>
        <v>0</v>
      </c>
      <c r="AK119" s="83">
        <f t="shared" si="86"/>
        <v>0</v>
      </c>
      <c r="AL119" s="84">
        <f>IF(AC119&gt;0,Masts!$C$14*0.75,0)</f>
        <v>0</v>
      </c>
      <c r="AM119" s="85">
        <f t="shared" si="68"/>
        <v>0</v>
      </c>
      <c r="AN119" s="86">
        <f t="shared" si="87"/>
        <v>0</v>
      </c>
      <c r="AO119" s="87">
        <f t="shared" si="80"/>
        <v>0</v>
      </c>
      <c r="AP119" s="68"/>
      <c r="AQ119" s="68"/>
      <c r="AR119" s="75"/>
      <c r="AS119" s="56">
        <f>'Ship Data Metric'!E120*0.03280839895</f>
        <v>0</v>
      </c>
      <c r="AT119" s="69">
        <f t="shared" si="52"/>
        <v>0</v>
      </c>
      <c r="AU119" s="87">
        <f t="shared" si="71"/>
        <v>0</v>
      </c>
      <c r="AV119" s="88">
        <f t="shared" si="83"/>
        <v>0</v>
      </c>
      <c r="AW119" s="80">
        <f t="shared" si="75"/>
        <v>0</v>
      </c>
      <c r="AX119" s="81">
        <f t="shared" si="76"/>
        <v>0</v>
      </c>
      <c r="AY119" s="88">
        <f t="shared" si="77"/>
        <v>0</v>
      </c>
    </row>
    <row r="120" ht="15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75"/>
      <c r="AB120" s="158" t="s">
        <v>54</v>
      </c>
      <c r="AC120" s="56">
        <f>IF('Ship Data Imperial'!E121&gt;0,'Ship Data Imperial'!E121,AS120)</f>
        <v>0</v>
      </c>
      <c r="AD120" s="77"/>
      <c r="AE120" s="77"/>
      <c r="AF120" s="56">
        <f>IF('Ship Data Imperial'!H121&gt;0,'Ship Data Imperial'!H121,AS120)</f>
        <v>0</v>
      </c>
      <c r="AG120" s="79">
        <f t="shared" si="78"/>
        <v>0</v>
      </c>
      <c r="AH120" s="80">
        <f t="shared" si="72"/>
        <v>0</v>
      </c>
      <c r="AI120" s="81">
        <f t="shared" si="73"/>
        <v>0</v>
      </c>
      <c r="AJ120" s="82">
        <f t="shared" si="74"/>
        <v>0</v>
      </c>
      <c r="AK120" s="83">
        <f t="shared" si="86"/>
        <v>0</v>
      </c>
      <c r="AL120" s="84">
        <f>IF(AC120&gt;0,Masts!$C$14*0.71,0)</f>
        <v>0</v>
      </c>
      <c r="AM120" s="85">
        <f t="shared" si="68"/>
        <v>0</v>
      </c>
      <c r="AN120" s="86">
        <f t="shared" si="87"/>
        <v>0</v>
      </c>
      <c r="AO120" s="87">
        <f t="shared" si="80"/>
        <v>0</v>
      </c>
      <c r="AP120" s="68"/>
      <c r="AQ120" s="68"/>
      <c r="AR120" s="75"/>
      <c r="AS120" s="56">
        <f>'Ship Data Metric'!E121*0.03280839895</f>
        <v>0</v>
      </c>
      <c r="AT120" s="69">
        <f t="shared" si="52"/>
        <v>0</v>
      </c>
      <c r="AU120" s="87">
        <f t="shared" si="71"/>
        <v>0</v>
      </c>
      <c r="AV120" s="88">
        <f t="shared" si="83"/>
        <v>0</v>
      </c>
      <c r="AW120" s="80">
        <f t="shared" si="75"/>
        <v>0</v>
      </c>
      <c r="AX120" s="81">
        <f t="shared" si="76"/>
        <v>0</v>
      </c>
      <c r="AY120" s="88">
        <f t="shared" si="77"/>
        <v>0</v>
      </c>
    </row>
    <row r="121" ht="15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75" t="s">
        <v>115</v>
      </c>
      <c r="AB121" s="158" t="s">
        <v>56</v>
      </c>
      <c r="AC121" s="56">
        <f>IF('Ship Data Imperial'!E122&gt;0,'Ship Data Imperial'!E122,AS121)</f>
        <v>0</v>
      </c>
      <c r="AD121" s="77"/>
      <c r="AE121" s="77"/>
      <c r="AF121" s="56">
        <f>IF('Ship Data Imperial'!H122&gt;0,'Ship Data Imperial'!H122,AS121)</f>
        <v>0</v>
      </c>
      <c r="AG121" s="79">
        <f t="shared" si="78"/>
        <v>0</v>
      </c>
      <c r="AH121" s="80">
        <f t="shared" si="72"/>
        <v>0</v>
      </c>
      <c r="AI121" s="81">
        <f t="shared" si="73"/>
        <v>0</v>
      </c>
      <c r="AJ121" s="82">
        <f t="shared" si="74"/>
        <v>0</v>
      </c>
      <c r="AK121" s="83">
        <f t="shared" ref="AK121:AK135" si="88">IF(AC121&gt;0,$AG$136*0.75,0)</f>
        <v>0</v>
      </c>
      <c r="AL121" s="84">
        <f>IF(AC121&gt;0,Masts!$C$14*0.71,0)</f>
        <v>0</v>
      </c>
      <c r="AM121" s="85">
        <f t="shared" si="68"/>
        <v>0</v>
      </c>
      <c r="AN121" s="86">
        <f t="shared" si="87"/>
        <v>0</v>
      </c>
      <c r="AO121" s="87">
        <f t="shared" si="80"/>
        <v>0</v>
      </c>
      <c r="AP121" s="68"/>
      <c r="AQ121" s="68"/>
      <c r="AR121" s="75" t="s">
        <v>115</v>
      </c>
      <c r="AS121" s="56">
        <f>'Ship Data Metric'!E122*0.03280839895</f>
        <v>0</v>
      </c>
      <c r="AT121" s="69">
        <f t="shared" si="52"/>
        <v>0</v>
      </c>
      <c r="AU121" s="87">
        <f t="shared" si="71"/>
        <v>0</v>
      </c>
      <c r="AV121" s="88">
        <f t="shared" si="83"/>
        <v>0</v>
      </c>
      <c r="AW121" s="80">
        <f t="shared" si="75"/>
        <v>0</v>
      </c>
      <c r="AX121" s="81">
        <f t="shared" si="76"/>
        <v>0</v>
      </c>
      <c r="AY121" s="88">
        <f t="shared" si="77"/>
        <v>0</v>
      </c>
    </row>
    <row r="122" ht="15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75" t="s">
        <v>57</v>
      </c>
      <c r="AB122" s="76" t="s">
        <v>24</v>
      </c>
      <c r="AC122" s="56">
        <f>IF('Ship Data Imperial'!E123&gt;0,'Ship Data Imperial'!E123,AS122)</f>
        <v>0</v>
      </c>
      <c r="AD122" s="77"/>
      <c r="AE122" s="77"/>
      <c r="AF122" s="56">
        <f>IF('Ship Data Imperial'!H123&gt;0,'Ship Data Imperial'!H123,AS122)</f>
        <v>0</v>
      </c>
      <c r="AG122" s="79">
        <f t="shared" si="78"/>
        <v>0</v>
      </c>
      <c r="AH122" s="80">
        <f t="shared" si="72"/>
        <v>0</v>
      </c>
      <c r="AI122" s="81">
        <f t="shared" si="73"/>
        <v>0</v>
      </c>
      <c r="AJ122" s="82">
        <f t="shared" si="74"/>
        <v>0</v>
      </c>
      <c r="AK122" s="83">
        <f t="shared" si="88"/>
        <v>0</v>
      </c>
      <c r="AL122" s="84">
        <f>IF(AC122&gt;0,Masts!$C$14*0.71,0)</f>
        <v>0</v>
      </c>
      <c r="AM122" s="85">
        <f t="shared" si="68"/>
        <v>0</v>
      </c>
      <c r="AN122" s="86">
        <f t="shared" si="87"/>
        <v>0</v>
      </c>
      <c r="AO122" s="87">
        <f t="shared" si="80"/>
        <v>0</v>
      </c>
      <c r="AP122" s="68"/>
      <c r="AQ122" s="68"/>
      <c r="AR122" s="75" t="s">
        <v>116</v>
      </c>
      <c r="AS122" s="56">
        <f>'Ship Data Metric'!E123*0.03280839895</f>
        <v>0</v>
      </c>
      <c r="AT122" s="69">
        <f t="shared" si="52"/>
        <v>0</v>
      </c>
      <c r="AU122" s="87">
        <f t="shared" si="71"/>
        <v>0</v>
      </c>
      <c r="AV122" s="88">
        <f t="shared" si="83"/>
        <v>0</v>
      </c>
      <c r="AW122" s="80">
        <f t="shared" si="75"/>
        <v>0</v>
      </c>
      <c r="AX122" s="81">
        <f t="shared" si="76"/>
        <v>0</v>
      </c>
      <c r="AY122" s="88">
        <f t="shared" si="77"/>
        <v>0</v>
      </c>
    </row>
    <row r="123" ht="15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75"/>
      <c r="AB123" s="76" t="s">
        <v>25</v>
      </c>
      <c r="AC123" s="56">
        <f>IF('Ship Data Imperial'!E124&gt;0,'Ship Data Imperial'!E124,AS123)</f>
        <v>0</v>
      </c>
      <c r="AD123" s="77"/>
      <c r="AE123" s="77"/>
      <c r="AF123" s="56">
        <f>IF('Ship Data Imperial'!H124&gt;0,'Ship Data Imperial'!H124,AS123)</f>
        <v>0</v>
      </c>
      <c r="AG123" s="79">
        <f t="shared" si="78"/>
        <v>0</v>
      </c>
      <c r="AH123" s="80">
        <f t="shared" si="72"/>
        <v>0</v>
      </c>
      <c r="AI123" s="81">
        <f t="shared" si="73"/>
        <v>0</v>
      </c>
      <c r="AJ123" s="82">
        <f t="shared" si="74"/>
        <v>0</v>
      </c>
      <c r="AK123" s="83">
        <f t="shared" si="88"/>
        <v>0</v>
      </c>
      <c r="AL123" s="84">
        <f>IF(AC123&gt;0,Masts!$C$14*0.71,0)</f>
        <v>0</v>
      </c>
      <c r="AM123" s="85">
        <f t="shared" si="68"/>
        <v>0</v>
      </c>
      <c r="AN123" s="86">
        <f t="shared" si="87"/>
        <v>0</v>
      </c>
      <c r="AO123" s="87">
        <f t="shared" si="80"/>
        <v>0</v>
      </c>
      <c r="AP123" s="68"/>
      <c r="AQ123" s="68"/>
      <c r="AR123" s="75"/>
      <c r="AS123" s="56">
        <f>'Ship Data Metric'!E124*0.03280839895</f>
        <v>0</v>
      </c>
      <c r="AT123" s="69">
        <f t="shared" si="52"/>
        <v>0</v>
      </c>
      <c r="AU123" s="87">
        <f t="shared" si="71"/>
        <v>0</v>
      </c>
      <c r="AV123" s="88">
        <f t="shared" si="83"/>
        <v>0</v>
      </c>
      <c r="AW123" s="80">
        <f t="shared" si="75"/>
        <v>0</v>
      </c>
      <c r="AX123" s="81">
        <f t="shared" si="76"/>
        <v>0</v>
      </c>
      <c r="AY123" s="88">
        <f t="shared" si="77"/>
        <v>0</v>
      </c>
    </row>
    <row r="124" ht="15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75"/>
      <c r="AB124" s="76" t="s">
        <v>26</v>
      </c>
      <c r="AC124" s="56">
        <f>IF('Ship Data Imperial'!E125&gt;0,'Ship Data Imperial'!E125,AS124)</f>
        <v>0</v>
      </c>
      <c r="AD124" s="77"/>
      <c r="AE124" s="77"/>
      <c r="AF124" s="56">
        <f>IF('Ship Data Imperial'!H125&gt;0,'Ship Data Imperial'!H125,AS124)</f>
        <v>0</v>
      </c>
      <c r="AG124" s="79">
        <f t="shared" si="78"/>
        <v>0</v>
      </c>
      <c r="AH124" s="80">
        <f t="shared" si="72"/>
        <v>0</v>
      </c>
      <c r="AI124" s="81">
        <f t="shared" si="73"/>
        <v>0</v>
      </c>
      <c r="AJ124" s="82">
        <f t="shared" si="74"/>
        <v>0</v>
      </c>
      <c r="AK124" s="83">
        <f t="shared" si="88"/>
        <v>0</v>
      </c>
      <c r="AL124" s="84">
        <f>IF(AC124&gt;0,Masts!$C$14*0.71,0)</f>
        <v>0</v>
      </c>
      <c r="AM124" s="85">
        <f t="shared" si="68"/>
        <v>0</v>
      </c>
      <c r="AN124" s="86">
        <f t="shared" si="87"/>
        <v>0</v>
      </c>
      <c r="AO124" s="87">
        <f t="shared" si="80"/>
        <v>0</v>
      </c>
      <c r="AP124" s="68"/>
      <c r="AQ124" s="68"/>
      <c r="AR124" s="75"/>
      <c r="AS124" s="56">
        <f>'Ship Data Metric'!E125*0.03280839895</f>
        <v>0</v>
      </c>
      <c r="AT124" s="69">
        <f t="shared" si="52"/>
        <v>0</v>
      </c>
      <c r="AU124" s="87">
        <f t="shared" si="71"/>
        <v>0</v>
      </c>
      <c r="AV124" s="88">
        <f t="shared" si="83"/>
        <v>0</v>
      </c>
      <c r="AW124" s="80">
        <f t="shared" si="75"/>
        <v>0</v>
      </c>
      <c r="AX124" s="81">
        <f t="shared" si="76"/>
        <v>0</v>
      </c>
      <c r="AY124" s="88">
        <f t="shared" si="77"/>
        <v>0</v>
      </c>
    </row>
    <row r="125" ht="15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75"/>
      <c r="AB125" s="76" t="s">
        <v>27</v>
      </c>
      <c r="AC125" s="56">
        <f>IF('Ship Data Imperial'!E126&gt;0,'Ship Data Imperial'!E126,AS125)</f>
        <v>0</v>
      </c>
      <c r="AD125" s="77"/>
      <c r="AE125" s="77"/>
      <c r="AF125" s="56">
        <f>IF('Ship Data Imperial'!H126&gt;0,'Ship Data Imperial'!H126,AS125)</f>
        <v>0</v>
      </c>
      <c r="AG125" s="79">
        <f t="shared" si="78"/>
        <v>0</v>
      </c>
      <c r="AH125" s="80">
        <f t="shared" si="72"/>
        <v>0</v>
      </c>
      <c r="AI125" s="81">
        <f t="shared" si="73"/>
        <v>0</v>
      </c>
      <c r="AJ125" s="82">
        <f t="shared" si="74"/>
        <v>0</v>
      </c>
      <c r="AK125" s="83">
        <f t="shared" si="88"/>
        <v>0</v>
      </c>
      <c r="AL125" s="84">
        <f>IF(AC125&gt;0,Masts!$C$14*0.71,0)</f>
        <v>0</v>
      </c>
      <c r="AM125" s="85">
        <f t="shared" si="68"/>
        <v>0</v>
      </c>
      <c r="AN125" s="86">
        <f t="shared" si="87"/>
        <v>0</v>
      </c>
      <c r="AO125" s="87">
        <f t="shared" si="80"/>
        <v>0</v>
      </c>
      <c r="AP125" s="68"/>
      <c r="AQ125" s="68"/>
      <c r="AR125" s="75"/>
      <c r="AS125" s="56">
        <f>'Ship Data Metric'!E126*0.03280839895</f>
        <v>0</v>
      </c>
      <c r="AT125" s="69">
        <f t="shared" si="52"/>
        <v>0</v>
      </c>
      <c r="AU125" s="87">
        <f t="shared" si="71"/>
        <v>0</v>
      </c>
      <c r="AV125" s="88">
        <f t="shared" si="83"/>
        <v>0</v>
      </c>
      <c r="AW125" s="80">
        <f t="shared" si="75"/>
        <v>0</v>
      </c>
      <c r="AX125" s="81">
        <f t="shared" si="76"/>
        <v>0</v>
      </c>
      <c r="AY125" s="88">
        <f t="shared" si="77"/>
        <v>0</v>
      </c>
    </row>
    <row r="126" ht="15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75"/>
      <c r="AB126" s="76" t="s">
        <v>28</v>
      </c>
      <c r="AC126" s="56">
        <f>IF('Ship Data Imperial'!E127&gt;0,'Ship Data Imperial'!E127,AS126)</f>
        <v>0</v>
      </c>
      <c r="AD126" s="77"/>
      <c r="AE126" s="77"/>
      <c r="AF126" s="56">
        <f>IF('Ship Data Imperial'!H127&gt;0,'Ship Data Imperial'!H127,AS126)</f>
        <v>0</v>
      </c>
      <c r="AG126" s="79">
        <f t="shared" si="78"/>
        <v>0</v>
      </c>
      <c r="AH126" s="80">
        <f t="shared" si="72"/>
        <v>0</v>
      </c>
      <c r="AI126" s="81">
        <f t="shared" si="73"/>
        <v>0</v>
      </c>
      <c r="AJ126" s="82">
        <f t="shared" si="74"/>
        <v>0</v>
      </c>
      <c r="AK126" s="83">
        <f t="shared" si="88"/>
        <v>0</v>
      </c>
      <c r="AL126" s="84">
        <f>IF(AC126&gt;0,Masts!$C$14*0.71,0)</f>
        <v>0</v>
      </c>
      <c r="AM126" s="85">
        <f t="shared" si="68"/>
        <v>0</v>
      </c>
      <c r="AN126" s="86">
        <f t="shared" si="87"/>
        <v>0</v>
      </c>
      <c r="AO126" s="87">
        <f t="shared" si="80"/>
        <v>0</v>
      </c>
      <c r="AP126" s="68"/>
      <c r="AQ126" s="68"/>
      <c r="AR126" s="75"/>
      <c r="AS126" s="56">
        <f>'Ship Data Metric'!E127*0.03280839895</f>
        <v>0</v>
      </c>
      <c r="AT126" s="69">
        <f t="shared" si="52"/>
        <v>0</v>
      </c>
      <c r="AU126" s="87">
        <f t="shared" si="71"/>
        <v>0</v>
      </c>
      <c r="AV126" s="88">
        <f t="shared" si="83"/>
        <v>0</v>
      </c>
      <c r="AW126" s="80">
        <f t="shared" si="75"/>
        <v>0</v>
      </c>
      <c r="AX126" s="81">
        <f t="shared" si="76"/>
        <v>0</v>
      </c>
      <c r="AY126" s="88">
        <f t="shared" si="77"/>
        <v>0</v>
      </c>
    </row>
    <row r="127" ht="15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75"/>
      <c r="AB127" s="76" t="s">
        <v>29</v>
      </c>
      <c r="AC127" s="56">
        <f>IF('Ship Data Imperial'!E128&gt;0,'Ship Data Imperial'!E128,AS127)</f>
        <v>0</v>
      </c>
      <c r="AD127" s="77"/>
      <c r="AE127" s="77"/>
      <c r="AF127" s="56">
        <f>IF('Ship Data Imperial'!H128&gt;0,'Ship Data Imperial'!H128,AS127)</f>
        <v>0</v>
      </c>
      <c r="AG127" s="79">
        <f t="shared" si="78"/>
        <v>0</v>
      </c>
      <c r="AH127" s="80">
        <f t="shared" si="72"/>
        <v>0</v>
      </c>
      <c r="AI127" s="81">
        <f t="shared" si="73"/>
        <v>0</v>
      </c>
      <c r="AJ127" s="82">
        <f t="shared" si="74"/>
        <v>0</v>
      </c>
      <c r="AK127" s="83">
        <f t="shared" si="88"/>
        <v>0</v>
      </c>
      <c r="AL127" s="84">
        <f>IF(AC127&gt;0,Masts!$C$14*0.71,0)</f>
        <v>0</v>
      </c>
      <c r="AM127" s="85">
        <f t="shared" si="68"/>
        <v>0</v>
      </c>
      <c r="AN127" s="86">
        <f t="shared" si="87"/>
        <v>0</v>
      </c>
      <c r="AO127" s="87">
        <f t="shared" si="80"/>
        <v>0</v>
      </c>
      <c r="AP127" s="68"/>
      <c r="AQ127" s="68"/>
      <c r="AR127" s="75"/>
      <c r="AS127" s="56">
        <f>'Ship Data Metric'!E128*0.03280839895</f>
        <v>0</v>
      </c>
      <c r="AT127" s="69">
        <f t="shared" si="52"/>
        <v>0</v>
      </c>
      <c r="AU127" s="87">
        <f t="shared" si="71"/>
        <v>0</v>
      </c>
      <c r="AV127" s="88">
        <f t="shared" si="83"/>
        <v>0</v>
      </c>
      <c r="AW127" s="80">
        <f t="shared" si="75"/>
        <v>0</v>
      </c>
      <c r="AX127" s="81">
        <f t="shared" si="76"/>
        <v>0</v>
      </c>
      <c r="AY127" s="88">
        <f t="shared" si="77"/>
        <v>0</v>
      </c>
    </row>
    <row r="128" ht="15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75"/>
      <c r="AB128" s="158" t="s">
        <v>51</v>
      </c>
      <c r="AC128" s="56">
        <f>IF('Ship Data Imperial'!E129&gt;0,'Ship Data Imperial'!E129,AS128)</f>
        <v>0</v>
      </c>
      <c r="AD128" s="77"/>
      <c r="AE128" s="77"/>
      <c r="AF128" s="56">
        <f>IF('Ship Data Imperial'!H129&gt;0,'Ship Data Imperial'!H129,AS128)</f>
        <v>0</v>
      </c>
      <c r="AG128" s="79">
        <f t="shared" si="78"/>
        <v>0</v>
      </c>
      <c r="AH128" s="80">
        <f t="shared" si="72"/>
        <v>0</v>
      </c>
      <c r="AI128" s="81">
        <f t="shared" si="73"/>
        <v>0</v>
      </c>
      <c r="AJ128" s="82">
        <f t="shared" si="74"/>
        <v>0</v>
      </c>
      <c r="AK128" s="83">
        <f t="shared" si="88"/>
        <v>0</v>
      </c>
      <c r="AL128" s="84">
        <f>IF(AC128&gt;0,Masts!$C$14*0.71,0)</f>
        <v>0</v>
      </c>
      <c r="AM128" s="85">
        <f t="shared" si="68"/>
        <v>0</v>
      </c>
      <c r="AN128" s="86">
        <f t="shared" si="87"/>
        <v>0</v>
      </c>
      <c r="AO128" s="87">
        <f t="shared" si="80"/>
        <v>0</v>
      </c>
      <c r="AP128" s="68"/>
      <c r="AQ128" s="68"/>
      <c r="AR128" s="75"/>
      <c r="AS128" s="56">
        <f>'Ship Data Metric'!E129*0.03280839895</f>
        <v>0</v>
      </c>
      <c r="AT128" s="69">
        <f t="shared" si="52"/>
        <v>0</v>
      </c>
      <c r="AU128" s="87">
        <f t="shared" si="71"/>
        <v>0</v>
      </c>
      <c r="AV128" s="88">
        <f t="shared" si="83"/>
        <v>0</v>
      </c>
      <c r="AW128" s="80">
        <f t="shared" si="75"/>
        <v>0</v>
      </c>
      <c r="AX128" s="81">
        <f t="shared" si="76"/>
        <v>0</v>
      </c>
      <c r="AY128" s="88">
        <f t="shared" si="77"/>
        <v>0</v>
      </c>
    </row>
    <row r="129" ht="15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75" t="s">
        <v>58</v>
      </c>
      <c r="AB129" s="76" t="s">
        <v>24</v>
      </c>
      <c r="AC129" s="56">
        <f>IF('Ship Data Imperial'!E130&gt;0,'Ship Data Imperial'!E130,AS129)</f>
        <v>0</v>
      </c>
      <c r="AD129" s="77"/>
      <c r="AE129" s="77"/>
      <c r="AF129" s="56">
        <f>IF('Ship Data Imperial'!H130&gt;0,'Ship Data Imperial'!H130,AS129)</f>
        <v>0</v>
      </c>
      <c r="AG129" s="79">
        <f t="shared" si="78"/>
        <v>0</v>
      </c>
      <c r="AH129" s="80">
        <f t="shared" si="72"/>
        <v>0</v>
      </c>
      <c r="AI129" s="81">
        <f t="shared" si="73"/>
        <v>0</v>
      </c>
      <c r="AJ129" s="82">
        <f t="shared" si="74"/>
        <v>0</v>
      </c>
      <c r="AK129" s="83">
        <f t="shared" si="88"/>
        <v>0</v>
      </c>
      <c r="AL129" s="84">
        <f>IF(AC129&gt;0,Masts!$C$14*0.71,0)</f>
        <v>0</v>
      </c>
      <c r="AM129" s="85">
        <f t="shared" si="68"/>
        <v>0</v>
      </c>
      <c r="AN129" s="86">
        <f t="shared" si="87"/>
        <v>0</v>
      </c>
      <c r="AO129" s="87">
        <f t="shared" si="80"/>
        <v>0</v>
      </c>
      <c r="AP129" s="68"/>
      <c r="AQ129" s="68"/>
      <c r="AR129" s="75" t="s">
        <v>58</v>
      </c>
      <c r="AS129" s="56">
        <f>'Ship Data Metric'!E130*0.03280839895</f>
        <v>0</v>
      </c>
      <c r="AT129" s="69">
        <f t="shared" ref="AT129:AT135" si="89">IF(AC129&gt;0,($AG$136/3)*6,0)</f>
        <v>0</v>
      </c>
      <c r="AU129" s="87">
        <f t="shared" ref="AU129:AU135" si="90">IF(AC129&gt;0,($AI$136/3)*6,0)</f>
        <v>0</v>
      </c>
      <c r="AV129" s="88">
        <f t="shared" si="83"/>
        <v>0</v>
      </c>
      <c r="AW129" s="80">
        <f t="shared" si="75"/>
        <v>0</v>
      </c>
      <c r="AX129" s="81">
        <f t="shared" si="76"/>
        <v>0</v>
      </c>
      <c r="AY129" s="88">
        <f t="shared" si="77"/>
        <v>0</v>
      </c>
    </row>
    <row r="130" ht="15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75"/>
      <c r="AB130" s="76" t="s">
        <v>25</v>
      </c>
      <c r="AC130" s="56">
        <f>IF('Ship Data Imperial'!E131&gt;0,'Ship Data Imperial'!E131,AS130)</f>
        <v>0</v>
      </c>
      <c r="AD130" s="77"/>
      <c r="AE130" s="77"/>
      <c r="AF130" s="56">
        <f>IF('Ship Data Imperial'!H131&gt;0,'Ship Data Imperial'!H131,AS130)</f>
        <v>0</v>
      </c>
      <c r="AG130" s="79">
        <f t="shared" si="78"/>
        <v>0</v>
      </c>
      <c r="AH130" s="80">
        <f t="shared" si="72"/>
        <v>0</v>
      </c>
      <c r="AI130" s="81">
        <f t="shared" si="73"/>
        <v>0</v>
      </c>
      <c r="AJ130" s="82">
        <f t="shared" si="74"/>
        <v>0</v>
      </c>
      <c r="AK130" s="83">
        <f t="shared" si="88"/>
        <v>0</v>
      </c>
      <c r="AL130" s="84">
        <f>IF(AC130&gt;0,Masts!$C$14*0.71,0)</f>
        <v>0</v>
      </c>
      <c r="AM130" s="85">
        <f t="shared" si="68"/>
        <v>0</v>
      </c>
      <c r="AN130" s="86">
        <f t="shared" si="87"/>
        <v>0</v>
      </c>
      <c r="AO130" s="87">
        <f t="shared" si="80"/>
        <v>0</v>
      </c>
      <c r="AP130" s="68"/>
      <c r="AQ130" s="68"/>
      <c r="AR130" s="75"/>
      <c r="AS130" s="56">
        <f>'Ship Data Metric'!E131*0.03280839895</f>
        <v>0</v>
      </c>
      <c r="AT130" s="69">
        <f t="shared" si="89"/>
        <v>0</v>
      </c>
      <c r="AU130" s="87">
        <f t="shared" si="90"/>
        <v>0</v>
      </c>
      <c r="AV130" s="88">
        <f t="shared" si="83"/>
        <v>0</v>
      </c>
      <c r="AW130" s="80">
        <f t="shared" si="75"/>
        <v>0</v>
      </c>
      <c r="AX130" s="81">
        <f t="shared" si="76"/>
        <v>0</v>
      </c>
      <c r="AY130" s="88">
        <f t="shared" si="77"/>
        <v>0</v>
      </c>
    </row>
    <row r="131" ht="15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75"/>
      <c r="AB131" s="76" t="s">
        <v>26</v>
      </c>
      <c r="AC131" s="56">
        <f>IF('Ship Data Imperial'!E132&gt;0,'Ship Data Imperial'!E132,AS131)</f>
        <v>0</v>
      </c>
      <c r="AD131" s="77"/>
      <c r="AE131" s="77"/>
      <c r="AF131" s="56">
        <f>IF('Ship Data Imperial'!H132&gt;0,'Ship Data Imperial'!H132,AS131)</f>
        <v>0</v>
      </c>
      <c r="AG131" s="79">
        <f t="shared" si="78"/>
        <v>0</v>
      </c>
      <c r="AH131" s="80">
        <f t="shared" si="72"/>
        <v>0</v>
      </c>
      <c r="AI131" s="81">
        <f t="shared" si="73"/>
        <v>0</v>
      </c>
      <c r="AJ131" s="82">
        <f t="shared" si="74"/>
        <v>0</v>
      </c>
      <c r="AK131" s="83">
        <f t="shared" si="88"/>
        <v>0</v>
      </c>
      <c r="AL131" s="84">
        <f>IF(AC131&gt;0,Masts!$C$14*0.71,0)</f>
        <v>0</v>
      </c>
      <c r="AM131" s="85">
        <f t="shared" si="68"/>
        <v>0</v>
      </c>
      <c r="AN131" s="86">
        <f t="shared" si="87"/>
        <v>0</v>
      </c>
      <c r="AO131" s="87">
        <f t="shared" si="80"/>
        <v>0</v>
      </c>
      <c r="AP131" s="68"/>
      <c r="AQ131" s="68"/>
      <c r="AR131" s="75"/>
      <c r="AS131" s="56">
        <f>'Ship Data Metric'!E132*0.03280839895</f>
        <v>0</v>
      </c>
      <c r="AT131" s="69">
        <f t="shared" si="89"/>
        <v>0</v>
      </c>
      <c r="AU131" s="87">
        <f t="shared" si="90"/>
        <v>0</v>
      </c>
      <c r="AV131" s="88">
        <f t="shared" si="83"/>
        <v>0</v>
      </c>
      <c r="AW131" s="80">
        <f t="shared" si="75"/>
        <v>0</v>
      </c>
      <c r="AX131" s="81">
        <f t="shared" si="76"/>
        <v>0</v>
      </c>
      <c r="AY131" s="88">
        <f t="shared" si="77"/>
        <v>0</v>
      </c>
    </row>
    <row r="132" ht="15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75"/>
      <c r="AB132" s="76" t="s">
        <v>27</v>
      </c>
      <c r="AC132" s="56">
        <f>IF('Ship Data Imperial'!E133&gt;0,'Ship Data Imperial'!E133,AS132)</f>
        <v>0</v>
      </c>
      <c r="AD132" s="77"/>
      <c r="AE132" s="77"/>
      <c r="AF132" s="56">
        <f>IF('Ship Data Imperial'!H133&gt;0,'Ship Data Imperial'!H133,AS132)</f>
        <v>0</v>
      </c>
      <c r="AG132" s="79">
        <f t="shared" si="78"/>
        <v>0</v>
      </c>
      <c r="AH132" s="80">
        <f t="shared" si="72"/>
        <v>0</v>
      </c>
      <c r="AI132" s="81">
        <f t="shared" si="73"/>
        <v>0</v>
      </c>
      <c r="AJ132" s="82">
        <f t="shared" si="74"/>
        <v>0</v>
      </c>
      <c r="AK132" s="83">
        <f t="shared" si="88"/>
        <v>0</v>
      </c>
      <c r="AL132" s="84">
        <f>IF(AC132&gt;0,Masts!$C$14*0.71,0)</f>
        <v>0</v>
      </c>
      <c r="AM132" s="85">
        <f t="shared" si="68"/>
        <v>0</v>
      </c>
      <c r="AN132" s="86">
        <f t="shared" si="87"/>
        <v>0</v>
      </c>
      <c r="AO132" s="87">
        <f t="shared" si="80"/>
        <v>0</v>
      </c>
      <c r="AP132" s="68"/>
      <c r="AQ132" s="68"/>
      <c r="AR132" s="75"/>
      <c r="AS132" s="56">
        <f>'Ship Data Metric'!E133*0.03280839895</f>
        <v>0</v>
      </c>
      <c r="AT132" s="69">
        <f t="shared" si="89"/>
        <v>0</v>
      </c>
      <c r="AU132" s="87">
        <f t="shared" si="90"/>
        <v>0</v>
      </c>
      <c r="AV132" s="88">
        <f t="shared" si="83"/>
        <v>0</v>
      </c>
      <c r="AW132" s="80">
        <f t="shared" si="75"/>
        <v>0</v>
      </c>
      <c r="AX132" s="81">
        <f t="shared" si="76"/>
        <v>0</v>
      </c>
      <c r="AY132" s="88">
        <f t="shared" si="77"/>
        <v>0</v>
      </c>
    </row>
    <row r="133" ht="15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75"/>
      <c r="AB133" s="76" t="s">
        <v>28</v>
      </c>
      <c r="AC133" s="56">
        <f>IF('Ship Data Imperial'!E134&gt;0,'Ship Data Imperial'!E134,AS133)</f>
        <v>0</v>
      </c>
      <c r="AD133" s="77"/>
      <c r="AE133" s="77"/>
      <c r="AF133" s="56">
        <f>IF('Ship Data Imperial'!H134&gt;0,'Ship Data Imperial'!H134,AS133)</f>
        <v>0</v>
      </c>
      <c r="AG133" s="79">
        <f t="shared" si="78"/>
        <v>0</v>
      </c>
      <c r="AH133" s="80">
        <f t="shared" si="72"/>
        <v>0</v>
      </c>
      <c r="AI133" s="81">
        <f t="shared" si="73"/>
        <v>0</v>
      </c>
      <c r="AJ133" s="82">
        <f t="shared" si="74"/>
        <v>0</v>
      </c>
      <c r="AK133" s="83">
        <f t="shared" si="88"/>
        <v>0</v>
      </c>
      <c r="AL133" s="84">
        <f>IF(AC133&gt;0,Masts!$C$14*0.71,0)</f>
        <v>0</v>
      </c>
      <c r="AM133" s="85">
        <f t="shared" si="68"/>
        <v>0</v>
      </c>
      <c r="AN133" s="86">
        <f t="shared" si="87"/>
        <v>0</v>
      </c>
      <c r="AO133" s="87">
        <f t="shared" si="80"/>
        <v>0</v>
      </c>
      <c r="AP133" s="68"/>
      <c r="AQ133" s="68"/>
      <c r="AR133" s="75"/>
      <c r="AS133" s="56">
        <f>'Ship Data Metric'!E134*0.03280839895</f>
        <v>0</v>
      </c>
      <c r="AT133" s="69">
        <f t="shared" si="89"/>
        <v>0</v>
      </c>
      <c r="AU133" s="87">
        <f t="shared" si="90"/>
        <v>0</v>
      </c>
      <c r="AV133" s="88">
        <f t="shared" si="83"/>
        <v>0</v>
      </c>
      <c r="AW133" s="80">
        <f t="shared" si="75"/>
        <v>0</v>
      </c>
      <c r="AX133" s="81">
        <f t="shared" si="76"/>
        <v>0</v>
      </c>
      <c r="AY133" s="88">
        <f t="shared" si="77"/>
        <v>0</v>
      </c>
    </row>
    <row r="134" ht="15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75"/>
      <c r="AB134" s="76" t="s">
        <v>29</v>
      </c>
      <c r="AC134" s="56">
        <f>IF('Ship Data Imperial'!E135&gt;0,'Ship Data Imperial'!E135,AS134)</f>
        <v>0</v>
      </c>
      <c r="AD134" s="77"/>
      <c r="AE134" s="77"/>
      <c r="AF134" s="56">
        <f>IF('Ship Data Imperial'!H135&gt;0,'Ship Data Imperial'!H135,AS134)</f>
        <v>0</v>
      </c>
      <c r="AG134" s="79">
        <f t="shared" si="78"/>
        <v>0</v>
      </c>
      <c r="AH134" s="80">
        <f t="shared" si="72"/>
        <v>0</v>
      </c>
      <c r="AI134" s="81">
        <f t="shared" si="73"/>
        <v>0</v>
      </c>
      <c r="AJ134" s="82">
        <f t="shared" si="74"/>
        <v>0</v>
      </c>
      <c r="AK134" s="83">
        <f t="shared" si="88"/>
        <v>0</v>
      </c>
      <c r="AL134" s="84">
        <f>IF(AC134&gt;0,Masts!$C$14*0.71,0)</f>
        <v>0</v>
      </c>
      <c r="AM134" s="85">
        <f t="shared" si="68"/>
        <v>0</v>
      </c>
      <c r="AN134" s="86">
        <f t="shared" si="87"/>
        <v>0</v>
      </c>
      <c r="AO134" s="87">
        <f t="shared" si="80"/>
        <v>0</v>
      </c>
      <c r="AP134" s="68"/>
      <c r="AQ134" s="68"/>
      <c r="AR134" s="75"/>
      <c r="AS134" s="56">
        <f>'Ship Data Metric'!E135*0.03280839895</f>
        <v>0</v>
      </c>
      <c r="AT134" s="69">
        <f t="shared" si="89"/>
        <v>0</v>
      </c>
      <c r="AU134" s="87">
        <f t="shared" si="90"/>
        <v>0</v>
      </c>
      <c r="AV134" s="88">
        <f t="shared" si="83"/>
        <v>0</v>
      </c>
      <c r="AW134" s="80">
        <f t="shared" si="75"/>
        <v>0</v>
      </c>
      <c r="AX134" s="81">
        <f t="shared" si="76"/>
        <v>0</v>
      </c>
      <c r="AY134" s="88">
        <f t="shared" si="77"/>
        <v>0</v>
      </c>
    </row>
    <row r="135" ht="15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75"/>
      <c r="AB135" s="158" t="s">
        <v>51</v>
      </c>
      <c r="AC135" s="56">
        <f>IF('Ship Data Imperial'!E136&gt;0,'Ship Data Imperial'!E136,AS135)</f>
        <v>0</v>
      </c>
      <c r="AD135" s="77"/>
      <c r="AE135" s="77"/>
      <c r="AF135" s="56">
        <f>IF('Ship Data Imperial'!H136&gt;0,'Ship Data Imperial'!H136,AS135)</f>
        <v>0</v>
      </c>
      <c r="AG135" s="79">
        <f t="shared" si="78"/>
        <v>0</v>
      </c>
      <c r="AH135" s="80">
        <f t="shared" si="72"/>
        <v>0</v>
      </c>
      <c r="AI135" s="81">
        <f t="shared" si="73"/>
        <v>0</v>
      </c>
      <c r="AJ135" s="82">
        <f t="shared" si="74"/>
        <v>0</v>
      </c>
      <c r="AK135" s="83">
        <f t="shared" si="88"/>
        <v>0</v>
      </c>
      <c r="AL135" s="84">
        <f>IF(AC135&gt;0,Masts!$C$14*0.71,0)</f>
        <v>0</v>
      </c>
      <c r="AM135" s="85">
        <f t="shared" si="68"/>
        <v>0</v>
      </c>
      <c r="AN135" s="86">
        <f t="shared" si="87"/>
        <v>0</v>
      </c>
      <c r="AO135" s="87">
        <f t="shared" si="80"/>
        <v>0</v>
      </c>
      <c r="AP135" s="68"/>
      <c r="AQ135" s="68"/>
      <c r="AR135" s="75"/>
      <c r="AS135" s="56">
        <f>'Ship Data Metric'!E136*0.03280839895</f>
        <v>0</v>
      </c>
      <c r="AT135" s="69">
        <f t="shared" si="89"/>
        <v>0</v>
      </c>
      <c r="AU135" s="87">
        <f t="shared" si="90"/>
        <v>0</v>
      </c>
      <c r="AV135" s="88">
        <f t="shared" si="83"/>
        <v>0</v>
      </c>
      <c r="AW135" s="80">
        <f t="shared" si="75"/>
        <v>0</v>
      </c>
      <c r="AX135" s="81">
        <f t="shared" si="76"/>
        <v>0</v>
      </c>
      <c r="AY135" s="88">
        <f t="shared" si="77"/>
        <v>0</v>
      </c>
    </row>
    <row r="136" ht="15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68"/>
      <c r="AB136" s="68"/>
      <c r="AC136" s="68"/>
      <c r="AD136" s="68"/>
      <c r="AE136" s="68"/>
      <c r="AF136" s="160" t="s">
        <v>117</v>
      </c>
      <c r="AG136" s="77">
        <f t="shared" ref="AG136:AO136" si="91">SUM(AG2:AG121)</f>
        <v>39.29002625</v>
      </c>
      <c r="AH136" s="77">
        <f t="shared" si="91"/>
        <v>19.64501312</v>
      </c>
      <c r="AI136" s="77">
        <f t="shared" si="91"/>
        <v>35.36102362</v>
      </c>
      <c r="AJ136" s="77">
        <f t="shared" si="91"/>
        <v>17.68051181</v>
      </c>
      <c r="AK136" s="77">
        <f t="shared" si="91"/>
        <v>33.39652231</v>
      </c>
      <c r="AL136" s="77">
        <f t="shared" si="91"/>
        <v>16.50181102</v>
      </c>
      <c r="AM136" s="77">
        <f t="shared" si="91"/>
        <v>8.250905512</v>
      </c>
      <c r="AN136" s="77">
        <f t="shared" si="91"/>
        <v>23.57401575</v>
      </c>
      <c r="AO136" s="77">
        <f t="shared" si="91"/>
        <v>16.85542126</v>
      </c>
      <c r="AP136" s="68"/>
      <c r="AQ136" s="68"/>
      <c r="AR136" s="68"/>
      <c r="AS136" s="54"/>
      <c r="AT136" s="77">
        <f t="shared" ref="AT136:AV136" si="92">SUM(AT2:AT121)</f>
        <v>65.48337708</v>
      </c>
      <c r="AU136" s="77">
        <f t="shared" si="92"/>
        <v>58.93503937</v>
      </c>
      <c r="AV136" s="77">
        <f t="shared" si="92"/>
        <v>44.52869641</v>
      </c>
      <c r="AW136" s="77">
        <f t="shared" ref="AW136:AY136" si="93">SUM(AW2:AW121)*12</f>
        <v>75.43685039</v>
      </c>
      <c r="AX136" s="77">
        <f t="shared" si="93"/>
        <v>67.89316535</v>
      </c>
      <c r="AY136" s="77">
        <f t="shared" si="93"/>
        <v>52.80579528</v>
      </c>
    </row>
    <row r="137" ht="15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5" t="s">
        <v>16</v>
      </c>
      <c r="AB137" s="55" t="s">
        <v>17</v>
      </c>
      <c r="AC137" s="55" t="s">
        <v>18</v>
      </c>
      <c r="AD137" s="68"/>
      <c r="AE137" s="68"/>
      <c r="AF137" s="68"/>
      <c r="AG137" s="161" t="s">
        <v>118</v>
      </c>
      <c r="AH137" s="80" t="s">
        <v>119</v>
      </c>
      <c r="AI137" s="60" t="s">
        <v>120</v>
      </c>
      <c r="AJ137" s="64" t="s">
        <v>121</v>
      </c>
      <c r="AK137" s="62" t="s">
        <v>122</v>
      </c>
      <c r="AL137" s="63" t="s">
        <v>123</v>
      </c>
      <c r="AM137" s="64" t="s">
        <v>124</v>
      </c>
      <c r="AN137" s="65" t="s">
        <v>125</v>
      </c>
      <c r="AO137" s="66" t="s">
        <v>126</v>
      </c>
      <c r="AP137" s="67" t="s">
        <v>74</v>
      </c>
      <c r="AQ137" s="68"/>
      <c r="AR137" s="68"/>
      <c r="AS137" s="55" t="s">
        <v>18</v>
      </c>
      <c r="AT137" s="68"/>
      <c r="AU137" s="54"/>
      <c r="AV137" s="54"/>
      <c r="AW137" s="54"/>
      <c r="AX137" s="54"/>
      <c r="AY137" s="54"/>
    </row>
    <row r="138" ht="15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75" t="s">
        <v>23</v>
      </c>
      <c r="AB138" s="76" t="s">
        <v>24</v>
      </c>
      <c r="AC138" s="56">
        <f>IF('Ship Data Imperial'!E3&gt;0,'Ship Data Imperial'!E3,AS138)</f>
        <v>0</v>
      </c>
      <c r="AD138" s="68"/>
      <c r="AE138" s="68"/>
      <c r="AF138" s="68"/>
      <c r="AG138" s="69">
        <f t="shared" ref="AG138:AG155" si="94">IF(AC138&gt;0,$AG$136/3,0)</f>
        <v>0</v>
      </c>
      <c r="AH138" s="80">
        <f>IF(AC138&gt;0,(Masts!$C$14/3)*0.9375,0)</f>
        <v>0</v>
      </c>
      <c r="AI138" s="81">
        <f>IF(AC138&gt;0,(Masts!$C$15/3)*0.9375,0)</f>
        <v>0</v>
      </c>
      <c r="AJ138" s="85">
        <f t="shared" ref="AJ138:AJ155" si="95">IF(AC138&gt;0,$AI$136/3,0)</f>
        <v>0</v>
      </c>
      <c r="AK138" s="83">
        <f>IF(AC138&gt;0,(Masts!$C$10/3)*0.9375,0)</f>
        <v>0</v>
      </c>
      <c r="AL138" s="84">
        <f>IF(AC138&gt;0,(Masts!$C$11/3)*0.9375,0)</f>
        <v>0</v>
      </c>
      <c r="AM138" s="85">
        <f t="shared" ref="AM138:AM155" si="96">IF(AC138&gt;0,$AK$136/3,0)</f>
        <v>0</v>
      </c>
      <c r="AN138" s="86">
        <f t="shared" ref="AN138:AN155" si="97">IF(AC138&gt;0,$AL$136/3,0)</f>
        <v>0</v>
      </c>
      <c r="AO138" s="87">
        <f t="shared" ref="AO138:AO191" si="98">IF(AC138&gt;0,AG138,0)</f>
        <v>0</v>
      </c>
      <c r="AP138" s="88">
        <f t="shared" ref="AP138:AP197" si="99">IF(AC138&gt;0,($AP$86/3)*0.9375,0)</f>
        <v>0</v>
      </c>
      <c r="AQ138" s="68"/>
      <c r="AR138" s="68"/>
      <c r="AS138" s="56">
        <f>'Ship Data Metric'!E3*0.03280839895</f>
        <v>0</v>
      </c>
      <c r="AT138" s="68"/>
      <c r="AU138" s="54"/>
      <c r="AV138" s="54"/>
      <c r="AW138" s="54"/>
      <c r="AX138" s="54"/>
      <c r="AY138" s="54"/>
    </row>
    <row r="139" ht="15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75"/>
      <c r="AB139" s="76" t="s">
        <v>25</v>
      </c>
      <c r="AC139" s="56">
        <f>IF('Ship Data Imperial'!E4&gt;0,'Ship Data Imperial'!E4,AS139)</f>
        <v>0</v>
      </c>
      <c r="AD139" s="68"/>
      <c r="AE139" s="68"/>
      <c r="AF139" s="68"/>
      <c r="AG139" s="69">
        <f t="shared" si="94"/>
        <v>0</v>
      </c>
      <c r="AH139" s="80">
        <f>IF(AC139&gt;0,(Masts!$C$14/3)*0.9375,0)</f>
        <v>0</v>
      </c>
      <c r="AI139" s="81">
        <f>IF(AC139&gt;0,(Masts!$C$15/3)*0.9375,0)</f>
        <v>0</v>
      </c>
      <c r="AJ139" s="85">
        <f t="shared" si="95"/>
        <v>0</v>
      </c>
      <c r="AK139" s="83">
        <f>IF(AC139&gt;0,(Masts!$C$10/3)*0.9375,0)</f>
        <v>0</v>
      </c>
      <c r="AL139" s="84">
        <f>IF(AC139&gt;0,(Masts!$C$11/3)*0.9375,0)</f>
        <v>0</v>
      </c>
      <c r="AM139" s="85">
        <f t="shared" si="96"/>
        <v>0</v>
      </c>
      <c r="AN139" s="86">
        <f t="shared" si="97"/>
        <v>0</v>
      </c>
      <c r="AO139" s="87">
        <f t="shared" si="98"/>
        <v>0</v>
      </c>
      <c r="AP139" s="88">
        <f t="shared" si="99"/>
        <v>0</v>
      </c>
      <c r="AQ139" s="68"/>
      <c r="AR139" s="68"/>
      <c r="AS139" s="56">
        <f>'Ship Data Metric'!E4*0.03280839895</f>
        <v>0</v>
      </c>
      <c r="AT139" s="68"/>
      <c r="AU139" s="54"/>
      <c r="AV139" s="54"/>
      <c r="AW139" s="54"/>
      <c r="AX139" s="54"/>
      <c r="AY139" s="54"/>
    </row>
    <row r="140" ht="15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75"/>
      <c r="AB140" s="76" t="s">
        <v>26</v>
      </c>
      <c r="AC140" s="56">
        <f>IF('Ship Data Imperial'!E5&gt;0,'Ship Data Imperial'!E5,AS140)</f>
        <v>0</v>
      </c>
      <c r="AD140" s="68"/>
      <c r="AE140" s="68"/>
      <c r="AF140" s="68"/>
      <c r="AG140" s="69">
        <f t="shared" si="94"/>
        <v>0</v>
      </c>
      <c r="AH140" s="80">
        <f>IF(AC140&gt;0,(Masts!$C$14/3)*0.9375,0)</f>
        <v>0</v>
      </c>
      <c r="AI140" s="81">
        <f>IF(AC140&gt;0,(Masts!$C$15/3)*0.9375,0)</f>
        <v>0</v>
      </c>
      <c r="AJ140" s="85">
        <f t="shared" si="95"/>
        <v>0</v>
      </c>
      <c r="AK140" s="83">
        <f>IF(AC140&gt;0,(Masts!$C$10/3)*0.9375,0)</f>
        <v>0</v>
      </c>
      <c r="AL140" s="84">
        <f>IF(AC140&gt;0,(Masts!$C$11/3)*0.9375,0)</f>
        <v>0</v>
      </c>
      <c r="AM140" s="85">
        <f t="shared" si="96"/>
        <v>0</v>
      </c>
      <c r="AN140" s="86">
        <f t="shared" si="97"/>
        <v>0</v>
      </c>
      <c r="AO140" s="87">
        <f t="shared" si="98"/>
        <v>0</v>
      </c>
      <c r="AP140" s="88">
        <f t="shared" si="99"/>
        <v>0</v>
      </c>
      <c r="AQ140" s="68"/>
      <c r="AR140" s="68"/>
      <c r="AS140" s="56">
        <f>'Ship Data Metric'!E5*0.03280839895</f>
        <v>0</v>
      </c>
      <c r="AT140" s="68"/>
      <c r="AU140" s="54"/>
      <c r="AV140" s="54"/>
      <c r="AW140" s="54"/>
      <c r="AX140" s="54"/>
      <c r="AY140" s="54"/>
    </row>
    <row r="141" ht="15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75"/>
      <c r="AB141" s="76" t="s">
        <v>27</v>
      </c>
      <c r="AC141" s="56">
        <f>IF('Ship Data Imperial'!E6&gt;0,'Ship Data Imperial'!E6,AS141)</f>
        <v>0</v>
      </c>
      <c r="AD141" s="68"/>
      <c r="AE141" s="68"/>
      <c r="AF141" s="68"/>
      <c r="AG141" s="69">
        <f t="shared" si="94"/>
        <v>0</v>
      </c>
      <c r="AH141" s="80">
        <f>IF(AC141&gt;0,(Masts!$C$14/3)*0.9375,0)</f>
        <v>0</v>
      </c>
      <c r="AI141" s="81">
        <f>IF(AC141&gt;0,(Masts!$C$15/3)*0.9375,0)</f>
        <v>0</v>
      </c>
      <c r="AJ141" s="85">
        <f t="shared" si="95"/>
        <v>0</v>
      </c>
      <c r="AK141" s="83">
        <f>IF(AC141&gt;0,(Masts!$C$10/3)*0.9375,0)</f>
        <v>0</v>
      </c>
      <c r="AL141" s="84">
        <f>IF(AC141&gt;0,(Masts!$C$11/3)*0.9375,0)</f>
        <v>0</v>
      </c>
      <c r="AM141" s="85">
        <f t="shared" si="96"/>
        <v>0</v>
      </c>
      <c r="AN141" s="86">
        <f t="shared" si="97"/>
        <v>0</v>
      </c>
      <c r="AO141" s="87">
        <f t="shared" si="98"/>
        <v>0</v>
      </c>
      <c r="AP141" s="88">
        <f t="shared" si="99"/>
        <v>0</v>
      </c>
      <c r="AQ141" s="68"/>
      <c r="AR141" s="68"/>
      <c r="AS141" s="56">
        <f>'Ship Data Metric'!E6*0.03280839895</f>
        <v>0</v>
      </c>
      <c r="AT141" s="68"/>
      <c r="AU141" s="54"/>
      <c r="AV141" s="54"/>
      <c r="AW141" s="54"/>
      <c r="AX141" s="54"/>
      <c r="AY141" s="54"/>
    </row>
    <row r="142" ht="15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75"/>
      <c r="AB142" s="76" t="s">
        <v>28</v>
      </c>
      <c r="AC142" s="56">
        <f>IF('Ship Data Imperial'!E7&gt;0,'Ship Data Imperial'!E7,AS142)</f>
        <v>0</v>
      </c>
      <c r="AD142" s="68"/>
      <c r="AE142" s="68"/>
      <c r="AF142" s="68"/>
      <c r="AG142" s="69">
        <f t="shared" si="94"/>
        <v>0</v>
      </c>
      <c r="AH142" s="80">
        <f>IF(AC142&gt;0,(Masts!$C$14/3)*0.9375,0)</f>
        <v>0</v>
      </c>
      <c r="AI142" s="81">
        <f>IF(AC142&gt;0,(Masts!$C$15/3)*0.9375,0)</f>
        <v>0</v>
      </c>
      <c r="AJ142" s="85">
        <f t="shared" si="95"/>
        <v>0</v>
      </c>
      <c r="AK142" s="83">
        <f>IF(AC142&gt;0,(Masts!$C$10/3)*0.9375,0)</f>
        <v>0</v>
      </c>
      <c r="AL142" s="84">
        <f>IF(AC142&gt;0,(Masts!$C$11/3)*0.9375,0)</f>
        <v>0</v>
      </c>
      <c r="AM142" s="85">
        <f t="shared" si="96"/>
        <v>0</v>
      </c>
      <c r="AN142" s="86">
        <f t="shared" si="97"/>
        <v>0</v>
      </c>
      <c r="AO142" s="87">
        <f t="shared" si="98"/>
        <v>0</v>
      </c>
      <c r="AP142" s="88">
        <f t="shared" si="99"/>
        <v>0</v>
      </c>
      <c r="AQ142" s="68"/>
      <c r="AR142" s="68"/>
      <c r="AS142" s="56">
        <f>'Ship Data Metric'!E7*0.03280839895</f>
        <v>0</v>
      </c>
      <c r="AT142" s="68"/>
      <c r="AU142" s="54"/>
      <c r="AV142" s="54"/>
      <c r="AW142" s="54"/>
      <c r="AX142" s="54"/>
      <c r="AY142" s="54"/>
    </row>
    <row r="143" ht="15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75"/>
      <c r="AB143" s="76" t="s">
        <v>29</v>
      </c>
      <c r="AC143" s="56">
        <f>IF('Ship Data Imperial'!E8&gt;0,'Ship Data Imperial'!E8,AS143)</f>
        <v>0</v>
      </c>
      <c r="AD143" s="68"/>
      <c r="AE143" s="68"/>
      <c r="AF143" s="68"/>
      <c r="AG143" s="69">
        <f t="shared" si="94"/>
        <v>0</v>
      </c>
      <c r="AH143" s="80">
        <f>IF(AC143&gt;0,(Masts!$C$14/3)*0.9375,0)</f>
        <v>0</v>
      </c>
      <c r="AI143" s="81">
        <f>IF(AC143&gt;0,(Masts!$C$15/3)*0.9375,0)</f>
        <v>0</v>
      </c>
      <c r="AJ143" s="85">
        <f t="shared" si="95"/>
        <v>0</v>
      </c>
      <c r="AK143" s="83">
        <f>IF(AC143&gt;0,(Masts!$C$10/3)*0.9375,0)</f>
        <v>0</v>
      </c>
      <c r="AL143" s="84">
        <f>IF(AC143&gt;0,(Masts!$C$11/3)*0.9375,0)</f>
        <v>0</v>
      </c>
      <c r="AM143" s="85">
        <f t="shared" si="96"/>
        <v>0</v>
      </c>
      <c r="AN143" s="86">
        <f t="shared" si="97"/>
        <v>0</v>
      </c>
      <c r="AO143" s="87">
        <f t="shared" si="98"/>
        <v>0</v>
      </c>
      <c r="AP143" s="88">
        <f t="shared" si="99"/>
        <v>0</v>
      </c>
      <c r="AQ143" s="68"/>
      <c r="AR143" s="68"/>
      <c r="AS143" s="56">
        <f>'Ship Data Metric'!E8*0.03280839895</f>
        <v>0</v>
      </c>
      <c r="AT143" s="68"/>
      <c r="AU143" s="54"/>
      <c r="AV143" s="54"/>
      <c r="AW143" s="54"/>
      <c r="AX143" s="54"/>
      <c r="AY143" s="54"/>
    </row>
    <row r="144" ht="15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75" t="s">
        <v>30</v>
      </c>
      <c r="AB144" s="76" t="s">
        <v>24</v>
      </c>
      <c r="AC144" s="56">
        <f>IF('Ship Data Imperial'!E9&gt;0,'Ship Data Imperial'!E9,AS144)</f>
        <v>0</v>
      </c>
      <c r="AD144" s="68"/>
      <c r="AE144" s="68"/>
      <c r="AF144" s="68"/>
      <c r="AG144" s="69">
        <f t="shared" si="94"/>
        <v>0</v>
      </c>
      <c r="AH144" s="80">
        <f>IF(AC144&gt;0,(Masts!$C$14/3)*0.9375,0)</f>
        <v>0</v>
      </c>
      <c r="AI144" s="81">
        <f>IF(AC144&gt;0,(Masts!$C$15/3)*0.9375,0)</f>
        <v>0</v>
      </c>
      <c r="AJ144" s="85">
        <f t="shared" si="95"/>
        <v>0</v>
      </c>
      <c r="AK144" s="83">
        <f>IF(AC144&gt;0,(Masts!$C$10/3)*0.9375,0)</f>
        <v>0</v>
      </c>
      <c r="AL144" s="84">
        <f>IF(AC144&gt;0,(Masts!$C$11/3)*0.9375,0)</f>
        <v>0</v>
      </c>
      <c r="AM144" s="85">
        <f t="shared" si="96"/>
        <v>0</v>
      </c>
      <c r="AN144" s="86">
        <f t="shared" si="97"/>
        <v>0</v>
      </c>
      <c r="AO144" s="87">
        <f t="shared" si="98"/>
        <v>0</v>
      </c>
      <c r="AP144" s="88">
        <f t="shared" si="99"/>
        <v>0</v>
      </c>
      <c r="AQ144" s="68"/>
      <c r="AR144" s="68"/>
      <c r="AS144" s="56">
        <f>'Ship Data Metric'!E9*0.03280839895</f>
        <v>0</v>
      </c>
      <c r="AT144" s="68"/>
      <c r="AU144" s="54"/>
      <c r="AV144" s="54"/>
      <c r="AW144" s="54"/>
      <c r="AX144" s="54"/>
      <c r="AY144" s="54"/>
    </row>
    <row r="145" ht="15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75"/>
      <c r="AB145" s="76" t="s">
        <v>25</v>
      </c>
      <c r="AC145" s="56">
        <f>IF('Ship Data Imperial'!E10&gt;0,'Ship Data Imperial'!E10,AS145)</f>
        <v>0</v>
      </c>
      <c r="AD145" s="68"/>
      <c r="AE145" s="68"/>
      <c r="AF145" s="68"/>
      <c r="AG145" s="69">
        <f t="shared" si="94"/>
        <v>0</v>
      </c>
      <c r="AH145" s="80">
        <f>IF(AC145&gt;0,(Masts!$C$14/3)*0.9375,0)</f>
        <v>0</v>
      </c>
      <c r="AI145" s="81">
        <f>IF(AC145&gt;0,(Masts!$C$15/3)*0.9375,0)</f>
        <v>0</v>
      </c>
      <c r="AJ145" s="85">
        <f t="shared" si="95"/>
        <v>0</v>
      </c>
      <c r="AK145" s="83">
        <f>IF(AC145&gt;0,(Masts!$C$10/3)*0.9375,0)</f>
        <v>0</v>
      </c>
      <c r="AL145" s="84">
        <f>IF(AC145&gt;0,(Masts!$C$11/3)*0.9375,0)</f>
        <v>0</v>
      </c>
      <c r="AM145" s="85">
        <f t="shared" si="96"/>
        <v>0</v>
      </c>
      <c r="AN145" s="86">
        <f t="shared" si="97"/>
        <v>0</v>
      </c>
      <c r="AO145" s="87">
        <f t="shared" si="98"/>
        <v>0</v>
      </c>
      <c r="AP145" s="88">
        <f t="shared" si="99"/>
        <v>0</v>
      </c>
      <c r="AQ145" s="68"/>
      <c r="AR145" s="68"/>
      <c r="AS145" s="56">
        <f>'Ship Data Metric'!E10*0.03280839895</f>
        <v>0</v>
      </c>
      <c r="AT145" s="68"/>
      <c r="AU145" s="54"/>
      <c r="AV145" s="54"/>
      <c r="AW145" s="54"/>
      <c r="AX145" s="54"/>
      <c r="AY145" s="54"/>
    </row>
    <row r="146" ht="15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75"/>
      <c r="AB146" s="76" t="s">
        <v>26</v>
      </c>
      <c r="AC146" s="56">
        <f>IF('Ship Data Imperial'!E11&gt;0,'Ship Data Imperial'!E11,AS146)</f>
        <v>0</v>
      </c>
      <c r="AD146" s="68"/>
      <c r="AE146" s="68"/>
      <c r="AF146" s="68"/>
      <c r="AG146" s="69">
        <f t="shared" si="94"/>
        <v>0</v>
      </c>
      <c r="AH146" s="80">
        <f>IF(AC146&gt;0,(Masts!$C$14/3)*0.9375,0)</f>
        <v>0</v>
      </c>
      <c r="AI146" s="81">
        <f>IF(AC146&gt;0,(Masts!$C$15/3)*0.9375,0)</f>
        <v>0</v>
      </c>
      <c r="AJ146" s="85">
        <f t="shared" si="95"/>
        <v>0</v>
      </c>
      <c r="AK146" s="83">
        <f>IF(AC146&gt;0,(Masts!$C$10/3)*0.9375,0)</f>
        <v>0</v>
      </c>
      <c r="AL146" s="84">
        <f>IF(AC146&gt;0,(Masts!$C$11/3)*0.9375,0)</f>
        <v>0</v>
      </c>
      <c r="AM146" s="85">
        <f t="shared" si="96"/>
        <v>0</v>
      </c>
      <c r="AN146" s="86">
        <f t="shared" si="97"/>
        <v>0</v>
      </c>
      <c r="AO146" s="87">
        <f t="shared" si="98"/>
        <v>0</v>
      </c>
      <c r="AP146" s="88">
        <f t="shared" si="99"/>
        <v>0</v>
      </c>
      <c r="AQ146" s="68"/>
      <c r="AR146" s="68"/>
      <c r="AS146" s="56">
        <f>'Ship Data Metric'!E11*0.03280839895</f>
        <v>0</v>
      </c>
      <c r="AT146" s="68"/>
      <c r="AU146" s="54"/>
      <c r="AV146" s="54"/>
      <c r="AW146" s="54"/>
      <c r="AX146" s="54"/>
      <c r="AY146" s="54"/>
    </row>
    <row r="147" ht="15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75"/>
      <c r="AB147" s="76" t="s">
        <v>27</v>
      </c>
      <c r="AC147" s="56">
        <f>IF('Ship Data Imperial'!E12&gt;0,'Ship Data Imperial'!E12,AS147)</f>
        <v>0</v>
      </c>
      <c r="AD147" s="68"/>
      <c r="AE147" s="68"/>
      <c r="AF147" s="68"/>
      <c r="AG147" s="69">
        <f t="shared" si="94"/>
        <v>0</v>
      </c>
      <c r="AH147" s="80">
        <f>IF(AC147&gt;0,(Masts!$C$14/3)*0.9375,0)</f>
        <v>0</v>
      </c>
      <c r="AI147" s="81">
        <f>IF(AC147&gt;0,(Masts!$C$15/3)*0.9375,0)</f>
        <v>0</v>
      </c>
      <c r="AJ147" s="85">
        <f t="shared" si="95"/>
        <v>0</v>
      </c>
      <c r="AK147" s="83">
        <f>IF(AC147&gt;0,(Masts!$C$10/3)*0.9375,0)</f>
        <v>0</v>
      </c>
      <c r="AL147" s="84">
        <f>IF(AC147&gt;0,(Masts!$C$11/3)*0.9375,0)</f>
        <v>0</v>
      </c>
      <c r="AM147" s="85">
        <f t="shared" si="96"/>
        <v>0</v>
      </c>
      <c r="AN147" s="86">
        <f t="shared" si="97"/>
        <v>0</v>
      </c>
      <c r="AO147" s="87">
        <f t="shared" si="98"/>
        <v>0</v>
      </c>
      <c r="AP147" s="88">
        <f t="shared" si="99"/>
        <v>0</v>
      </c>
      <c r="AQ147" s="68"/>
      <c r="AR147" s="68"/>
      <c r="AS147" s="56">
        <f>'Ship Data Metric'!E12*0.03280839895</f>
        <v>0</v>
      </c>
      <c r="AT147" s="68"/>
      <c r="AU147" s="54"/>
      <c r="AV147" s="54"/>
      <c r="AW147" s="54"/>
      <c r="AX147" s="54"/>
      <c r="AY147" s="54"/>
    </row>
    <row r="148" ht="15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75"/>
      <c r="AB148" s="76" t="s">
        <v>28</v>
      </c>
      <c r="AC148" s="56">
        <f>IF('Ship Data Imperial'!E13&gt;0,'Ship Data Imperial'!E13,AS148)</f>
        <v>0</v>
      </c>
      <c r="AD148" s="68"/>
      <c r="AE148" s="68"/>
      <c r="AF148" s="68"/>
      <c r="AG148" s="69">
        <f t="shared" si="94"/>
        <v>0</v>
      </c>
      <c r="AH148" s="80">
        <f>IF(AC148&gt;0,(Masts!$C$14/3)*0.9375,0)</f>
        <v>0</v>
      </c>
      <c r="AI148" s="81">
        <f>IF(AC148&gt;0,(Masts!$C$15/3)*0.9375,0)</f>
        <v>0</v>
      </c>
      <c r="AJ148" s="85">
        <f t="shared" si="95"/>
        <v>0</v>
      </c>
      <c r="AK148" s="83">
        <f>IF(AC148&gt;0,(Masts!$C$10/3)*0.9375,0)</f>
        <v>0</v>
      </c>
      <c r="AL148" s="84">
        <f>IF(AC148&gt;0,(Masts!$C$11/3)*0.9375,0)</f>
        <v>0</v>
      </c>
      <c r="AM148" s="85">
        <f t="shared" si="96"/>
        <v>0</v>
      </c>
      <c r="AN148" s="86">
        <f t="shared" si="97"/>
        <v>0</v>
      </c>
      <c r="AO148" s="87">
        <f t="shared" si="98"/>
        <v>0</v>
      </c>
      <c r="AP148" s="88">
        <f t="shared" si="99"/>
        <v>0</v>
      </c>
      <c r="AQ148" s="68"/>
      <c r="AR148" s="68"/>
      <c r="AS148" s="56">
        <f>'Ship Data Metric'!E13*0.03280839895</f>
        <v>0</v>
      </c>
      <c r="AT148" s="68"/>
      <c r="AU148" s="54"/>
      <c r="AV148" s="54"/>
      <c r="AW148" s="54"/>
      <c r="AX148" s="54"/>
      <c r="AY148" s="54"/>
    </row>
    <row r="149" ht="15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75"/>
      <c r="AB149" s="76" t="s">
        <v>29</v>
      </c>
      <c r="AC149" s="56">
        <f>IF('Ship Data Imperial'!E14&gt;0,'Ship Data Imperial'!E14,AS149)</f>
        <v>0</v>
      </c>
      <c r="AD149" s="68"/>
      <c r="AE149" s="68"/>
      <c r="AF149" s="68"/>
      <c r="AG149" s="69">
        <f t="shared" si="94"/>
        <v>0</v>
      </c>
      <c r="AH149" s="80">
        <f>IF(AC149&gt;0,(Masts!$C$14/3)*0.9375,0)</f>
        <v>0</v>
      </c>
      <c r="AI149" s="81">
        <f>IF(AC149&gt;0,(Masts!$C$15/3)*0.9375,0)</f>
        <v>0</v>
      </c>
      <c r="AJ149" s="85">
        <f t="shared" si="95"/>
        <v>0</v>
      </c>
      <c r="AK149" s="83">
        <f>IF(AC149&gt;0,(Masts!$C$10/3)*0.9375,0)</f>
        <v>0</v>
      </c>
      <c r="AL149" s="84">
        <f>IF(AC149&gt;0,(Masts!$C$11/3)*0.9375,0)</f>
        <v>0</v>
      </c>
      <c r="AM149" s="85">
        <f t="shared" si="96"/>
        <v>0</v>
      </c>
      <c r="AN149" s="86">
        <f t="shared" si="97"/>
        <v>0</v>
      </c>
      <c r="AO149" s="87">
        <f t="shared" si="98"/>
        <v>0</v>
      </c>
      <c r="AP149" s="88">
        <f t="shared" si="99"/>
        <v>0</v>
      </c>
      <c r="AQ149" s="68"/>
      <c r="AR149" s="68"/>
      <c r="AS149" s="56">
        <f>'Ship Data Metric'!E14*0.03280839895</f>
        <v>0</v>
      </c>
      <c r="AT149" s="68"/>
      <c r="AU149" s="54"/>
      <c r="AV149" s="54"/>
      <c r="AW149" s="54"/>
      <c r="AX149" s="54"/>
      <c r="AY149" s="54"/>
    </row>
    <row r="150" ht="15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75" t="s">
        <v>31</v>
      </c>
      <c r="AB150" s="76" t="s">
        <v>24</v>
      </c>
      <c r="AC150" s="56">
        <f>IF('Ship Data Imperial'!E15&gt;0,'Ship Data Imperial'!E15,AS150)</f>
        <v>0</v>
      </c>
      <c r="AD150" s="68"/>
      <c r="AE150" s="68"/>
      <c r="AF150" s="68"/>
      <c r="AG150" s="69">
        <f t="shared" si="94"/>
        <v>0</v>
      </c>
      <c r="AH150" s="80">
        <f>IF(AC150&gt;0,(Masts!$C$14/3)*0.9375,0)</f>
        <v>0</v>
      </c>
      <c r="AI150" s="81">
        <f>IF(AC150&gt;0,(Masts!$C$15/3)*0.9375,0)</f>
        <v>0</v>
      </c>
      <c r="AJ150" s="85">
        <f t="shared" si="95"/>
        <v>0</v>
      </c>
      <c r="AK150" s="83">
        <f>IF(AC150&gt;0,(Masts!$C$10/3)*0.9375,0)</f>
        <v>0</v>
      </c>
      <c r="AL150" s="84">
        <f>IF(AC150&gt;0,(Masts!$C$11/3)*0.9375,0)</f>
        <v>0</v>
      </c>
      <c r="AM150" s="85">
        <f t="shared" si="96"/>
        <v>0</v>
      </c>
      <c r="AN150" s="86">
        <f t="shared" si="97"/>
        <v>0</v>
      </c>
      <c r="AO150" s="87">
        <f t="shared" si="98"/>
        <v>0</v>
      </c>
      <c r="AP150" s="88">
        <f t="shared" si="99"/>
        <v>0</v>
      </c>
      <c r="AQ150" s="68"/>
      <c r="AR150" s="68"/>
      <c r="AS150" s="56">
        <f>'Ship Data Metric'!E15*0.03280839895</f>
        <v>0</v>
      </c>
      <c r="AT150" s="68"/>
      <c r="AU150" s="54"/>
      <c r="AV150" s="54"/>
      <c r="AW150" s="54"/>
      <c r="AX150" s="54"/>
      <c r="AY150" s="54"/>
    </row>
    <row r="151" ht="15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75"/>
      <c r="AB151" s="76" t="s">
        <v>25</v>
      </c>
      <c r="AC151" s="56">
        <f>IF('Ship Data Imperial'!E16&gt;0,'Ship Data Imperial'!E16,AS151)</f>
        <v>0</v>
      </c>
      <c r="AD151" s="68"/>
      <c r="AE151" s="68"/>
      <c r="AF151" s="68"/>
      <c r="AG151" s="69">
        <f t="shared" si="94"/>
        <v>0</v>
      </c>
      <c r="AH151" s="80">
        <f>IF(AC151&gt;0,(Masts!$C$14/3)*0.9375,0)</f>
        <v>0</v>
      </c>
      <c r="AI151" s="81">
        <f>IF(AC151&gt;0,(Masts!$C$15/3)*0.9375,0)</f>
        <v>0</v>
      </c>
      <c r="AJ151" s="85">
        <f t="shared" si="95"/>
        <v>0</v>
      </c>
      <c r="AK151" s="83">
        <f>IF(AC151&gt;0,(Masts!$C$10/3)*0.9375,0)</f>
        <v>0</v>
      </c>
      <c r="AL151" s="84">
        <f>IF(AC151&gt;0,(Masts!$C$11/3)*0.9375,0)</f>
        <v>0</v>
      </c>
      <c r="AM151" s="85">
        <f t="shared" si="96"/>
        <v>0</v>
      </c>
      <c r="AN151" s="86">
        <f t="shared" si="97"/>
        <v>0</v>
      </c>
      <c r="AO151" s="87">
        <f t="shared" si="98"/>
        <v>0</v>
      </c>
      <c r="AP151" s="88">
        <f t="shared" si="99"/>
        <v>0</v>
      </c>
      <c r="AQ151" s="68"/>
      <c r="AR151" s="68"/>
      <c r="AS151" s="56">
        <f>'Ship Data Metric'!E16*0.03280839895</f>
        <v>0</v>
      </c>
      <c r="AT151" s="68"/>
      <c r="AU151" s="54"/>
      <c r="AV151" s="54"/>
      <c r="AW151" s="54"/>
      <c r="AX151" s="54"/>
      <c r="AY151" s="54"/>
    </row>
    <row r="152" ht="15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75"/>
      <c r="AB152" s="76" t="s">
        <v>26</v>
      </c>
      <c r="AC152" s="56">
        <f>IF('Ship Data Imperial'!E17&gt;0,'Ship Data Imperial'!E17,AS152)</f>
        <v>0</v>
      </c>
      <c r="AD152" s="68"/>
      <c r="AE152" s="68"/>
      <c r="AF152" s="68"/>
      <c r="AG152" s="69">
        <f t="shared" si="94"/>
        <v>0</v>
      </c>
      <c r="AH152" s="80">
        <f>IF(AC152&gt;0,(Masts!$C$14/3)*0.9375,0)</f>
        <v>0</v>
      </c>
      <c r="AI152" s="81">
        <f>IF(AC152&gt;0,(Masts!$C$15/3)*0.9375,0)</f>
        <v>0</v>
      </c>
      <c r="AJ152" s="85">
        <f t="shared" si="95"/>
        <v>0</v>
      </c>
      <c r="AK152" s="83">
        <f>IF(AC152&gt;0,(Masts!$C$10/3)*0.9375,0)</f>
        <v>0</v>
      </c>
      <c r="AL152" s="84">
        <f>IF(AC152&gt;0,(Masts!$C$11/3)*0.9375,0)</f>
        <v>0</v>
      </c>
      <c r="AM152" s="85">
        <f t="shared" si="96"/>
        <v>0</v>
      </c>
      <c r="AN152" s="86">
        <f t="shared" si="97"/>
        <v>0</v>
      </c>
      <c r="AO152" s="87">
        <f t="shared" si="98"/>
        <v>0</v>
      </c>
      <c r="AP152" s="88">
        <f t="shared" si="99"/>
        <v>0</v>
      </c>
      <c r="AQ152" s="68"/>
      <c r="AR152" s="68"/>
      <c r="AS152" s="56">
        <f>'Ship Data Metric'!E17*0.03280839895</f>
        <v>0</v>
      </c>
      <c r="AT152" s="68"/>
      <c r="AU152" s="54"/>
      <c r="AV152" s="54"/>
      <c r="AW152" s="54"/>
      <c r="AX152" s="54"/>
      <c r="AY152" s="54"/>
    </row>
    <row r="153" ht="15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75"/>
      <c r="AB153" s="76" t="s">
        <v>27</v>
      </c>
      <c r="AC153" s="56">
        <f>IF('Ship Data Imperial'!E18&gt;0,'Ship Data Imperial'!E18,AS153)</f>
        <v>0</v>
      </c>
      <c r="AD153" s="68"/>
      <c r="AE153" s="68"/>
      <c r="AF153" s="68"/>
      <c r="AG153" s="69">
        <f t="shared" si="94"/>
        <v>0</v>
      </c>
      <c r="AH153" s="80">
        <f>IF(AC153&gt;0,(Masts!$C$14/3)*0.9375,0)</f>
        <v>0</v>
      </c>
      <c r="AI153" s="81">
        <f>IF(AC153&gt;0,(Masts!$C$15/3)*0.9375,0)</f>
        <v>0</v>
      </c>
      <c r="AJ153" s="85">
        <f t="shared" si="95"/>
        <v>0</v>
      </c>
      <c r="AK153" s="83">
        <f>IF(AC153&gt;0,(Masts!$C$10/3)*0.9375,0)</f>
        <v>0</v>
      </c>
      <c r="AL153" s="84">
        <f>IF(AC153&gt;0,(Masts!$C$11/3)*0.9375,0)</f>
        <v>0</v>
      </c>
      <c r="AM153" s="85">
        <f t="shared" si="96"/>
        <v>0</v>
      </c>
      <c r="AN153" s="86">
        <f t="shared" si="97"/>
        <v>0</v>
      </c>
      <c r="AO153" s="87">
        <f t="shared" si="98"/>
        <v>0</v>
      </c>
      <c r="AP153" s="88">
        <f t="shared" si="99"/>
        <v>0</v>
      </c>
      <c r="AQ153" s="68"/>
      <c r="AR153" s="68"/>
      <c r="AS153" s="56">
        <f>'Ship Data Metric'!E18*0.03280839895</f>
        <v>0</v>
      </c>
      <c r="AT153" s="68"/>
      <c r="AU153" s="54"/>
      <c r="AV153" s="54"/>
      <c r="AW153" s="54"/>
      <c r="AX153" s="54"/>
      <c r="AY153" s="54"/>
    </row>
    <row r="154" ht="15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75"/>
      <c r="AB154" s="76" t="s">
        <v>28</v>
      </c>
      <c r="AC154" s="56">
        <f>IF('Ship Data Imperial'!E19&gt;0,'Ship Data Imperial'!E19,AS154)</f>
        <v>0</v>
      </c>
      <c r="AD154" s="68"/>
      <c r="AE154" s="68"/>
      <c r="AF154" s="68"/>
      <c r="AG154" s="69">
        <f t="shared" si="94"/>
        <v>0</v>
      </c>
      <c r="AH154" s="80">
        <f>IF(AC154&gt;0,(Masts!$C$14/3)*0.9375,0)</f>
        <v>0</v>
      </c>
      <c r="AI154" s="81">
        <f>IF(AC154&gt;0,(Masts!$C$15/3)*0.9375,0)</f>
        <v>0</v>
      </c>
      <c r="AJ154" s="85">
        <f t="shared" si="95"/>
        <v>0</v>
      </c>
      <c r="AK154" s="83">
        <f>IF(AC154&gt;0,(Masts!$C$10/3)*0.9375,0)</f>
        <v>0</v>
      </c>
      <c r="AL154" s="84">
        <f>IF(AC154&gt;0,(Masts!$C$11/3)*0.9375,0)</f>
        <v>0</v>
      </c>
      <c r="AM154" s="85">
        <f t="shared" si="96"/>
        <v>0</v>
      </c>
      <c r="AN154" s="86">
        <f t="shared" si="97"/>
        <v>0</v>
      </c>
      <c r="AO154" s="87">
        <f t="shared" si="98"/>
        <v>0</v>
      </c>
      <c r="AP154" s="88">
        <f t="shared" si="99"/>
        <v>0</v>
      </c>
      <c r="AQ154" s="68"/>
      <c r="AR154" s="68"/>
      <c r="AS154" s="56">
        <f>'Ship Data Metric'!E19*0.03280839895</f>
        <v>0</v>
      </c>
      <c r="AT154" s="68"/>
      <c r="AU154" s="54"/>
      <c r="AV154" s="54"/>
      <c r="AW154" s="54"/>
      <c r="AX154" s="54"/>
      <c r="AY154" s="54"/>
    </row>
    <row r="155" ht="15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75"/>
      <c r="AB155" s="76" t="s">
        <v>29</v>
      </c>
      <c r="AC155" s="56">
        <f>IF('Ship Data Imperial'!E20&gt;0,'Ship Data Imperial'!E20,AS155)</f>
        <v>0</v>
      </c>
      <c r="AD155" s="68"/>
      <c r="AE155" s="68"/>
      <c r="AF155" s="68"/>
      <c r="AG155" s="69">
        <f t="shared" si="94"/>
        <v>0</v>
      </c>
      <c r="AH155" s="80">
        <f>IF(AC155&gt;0,(Masts!$C$14/3)*0.9375,0)</f>
        <v>0</v>
      </c>
      <c r="AI155" s="81">
        <f>IF(AC155&gt;0,(Masts!$C$15/3)*0.9375,0)</f>
        <v>0</v>
      </c>
      <c r="AJ155" s="85">
        <f t="shared" si="95"/>
        <v>0</v>
      </c>
      <c r="AK155" s="83">
        <f>IF(AC155&gt;0,(Masts!$C$10/3)*0.9375,0)</f>
        <v>0</v>
      </c>
      <c r="AL155" s="84">
        <f>IF(AC155&gt;0,(Masts!$C$11/3)*0.9375,0)</f>
        <v>0</v>
      </c>
      <c r="AM155" s="85">
        <f t="shared" si="96"/>
        <v>0</v>
      </c>
      <c r="AN155" s="86">
        <f t="shared" si="97"/>
        <v>0</v>
      </c>
      <c r="AO155" s="87">
        <f t="shared" si="98"/>
        <v>0</v>
      </c>
      <c r="AP155" s="88">
        <f t="shared" si="99"/>
        <v>0</v>
      </c>
      <c r="AQ155" s="68"/>
      <c r="AR155" s="68"/>
      <c r="AS155" s="56">
        <f>'Ship Data Metric'!E20*0.03280839895</f>
        <v>0</v>
      </c>
      <c r="AT155" s="68"/>
      <c r="AU155" s="54"/>
      <c r="AV155" s="54"/>
      <c r="AW155" s="54"/>
      <c r="AX155" s="54"/>
      <c r="AY155" s="54"/>
    </row>
    <row r="156" ht="15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75" t="s">
        <v>32</v>
      </c>
      <c r="AB156" s="76" t="s">
        <v>24</v>
      </c>
      <c r="AC156" s="56">
        <f>IF('Ship Data Imperial'!E21&gt;0,'Ship Data Imperial'!E21,AS156)</f>
        <v>0</v>
      </c>
      <c r="AD156" s="68"/>
      <c r="AE156" s="68"/>
      <c r="AF156" s="68"/>
      <c r="AG156" s="69">
        <f t="shared" ref="AG156:AG221" si="100">IF(AC156&gt;0,($AG$136/3)*0.9375,0)</f>
        <v>0</v>
      </c>
      <c r="AH156" s="80">
        <f>IF(AC156&gt;0,(Masts!$C$14/3)*0.9375,0)</f>
        <v>0</v>
      </c>
      <c r="AI156" s="81">
        <f>IF(AC156&gt;0,(Masts!$C$15/3)*0.9375,0)</f>
        <v>0</v>
      </c>
      <c r="AJ156" s="85">
        <f t="shared" ref="AJ156:AJ221" si="101">IF(AC156&gt;0,($AI$136/3)*0.9375,0)</f>
        <v>0</v>
      </c>
      <c r="AK156" s="83">
        <f>IF(AC156&gt;0,(Masts!$C$10/3)*0.9375,0)</f>
        <v>0</v>
      </c>
      <c r="AL156" s="84">
        <f>IF(AC156&gt;0,(Masts!$C$11/3)*0.9375,0)</f>
        <v>0</v>
      </c>
      <c r="AM156" s="85">
        <f t="shared" ref="AM156:AM191" si="102">IF(AC156&gt;0,($AK$136/3)*0.9375,0)</f>
        <v>0</v>
      </c>
      <c r="AN156" s="86">
        <f t="shared" ref="AN156:AN191" si="103">IF(AC156&gt;0,($AL$136/3)*0.9375,0)</f>
        <v>0</v>
      </c>
      <c r="AO156" s="87">
        <f t="shared" si="98"/>
        <v>0</v>
      </c>
      <c r="AP156" s="88">
        <f t="shared" si="99"/>
        <v>0</v>
      </c>
      <c r="AQ156" s="68"/>
      <c r="AR156" s="68"/>
      <c r="AS156" s="56">
        <f>'Ship Data Metric'!E21*0.03280839895</f>
        <v>0</v>
      </c>
      <c r="AT156" s="68"/>
      <c r="AU156" s="54"/>
      <c r="AV156" s="54"/>
      <c r="AW156" s="54"/>
      <c r="AX156" s="54"/>
      <c r="AY156" s="54"/>
    </row>
    <row r="157" ht="15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75"/>
      <c r="AB157" s="76" t="s">
        <v>25</v>
      </c>
      <c r="AC157" s="56">
        <f>IF('Ship Data Imperial'!E22&gt;0,'Ship Data Imperial'!E22,AS157)</f>
        <v>0</v>
      </c>
      <c r="AD157" s="68"/>
      <c r="AE157" s="68"/>
      <c r="AF157" s="68"/>
      <c r="AG157" s="69">
        <f t="shared" si="100"/>
        <v>0</v>
      </c>
      <c r="AH157" s="80">
        <f>IF(AC157&gt;0,(Masts!$C$14/3)*0.9375,0)</f>
        <v>0</v>
      </c>
      <c r="AI157" s="81">
        <f>IF(AC157&gt;0,(Masts!$C$15/3)*0.9375,0)</f>
        <v>0</v>
      </c>
      <c r="AJ157" s="85">
        <f t="shared" si="101"/>
        <v>0</v>
      </c>
      <c r="AK157" s="83">
        <f>IF(AC157&gt;0,(Masts!$C$10/3)*0.9375,0)</f>
        <v>0</v>
      </c>
      <c r="AL157" s="84">
        <f>IF(AC157&gt;0,(Masts!$C$11/3)*0.9375,0)</f>
        <v>0</v>
      </c>
      <c r="AM157" s="85">
        <f t="shared" si="102"/>
        <v>0</v>
      </c>
      <c r="AN157" s="86">
        <f t="shared" si="103"/>
        <v>0</v>
      </c>
      <c r="AO157" s="87">
        <f t="shared" si="98"/>
        <v>0</v>
      </c>
      <c r="AP157" s="88">
        <f t="shared" si="99"/>
        <v>0</v>
      </c>
      <c r="AQ157" s="68"/>
      <c r="AR157" s="68"/>
      <c r="AS157" s="56">
        <f>'Ship Data Metric'!E22*0.03280839895</f>
        <v>0</v>
      </c>
      <c r="AT157" s="68"/>
      <c r="AU157" s="54"/>
      <c r="AV157" s="54"/>
      <c r="AW157" s="54"/>
      <c r="AX157" s="54"/>
      <c r="AY157" s="54"/>
    </row>
    <row r="158" ht="15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75"/>
      <c r="AB158" s="76" t="s">
        <v>26</v>
      </c>
      <c r="AC158" s="56">
        <f>IF('Ship Data Imperial'!E23&gt;0,'Ship Data Imperial'!E23,AS158)</f>
        <v>0</v>
      </c>
      <c r="AD158" s="68"/>
      <c r="AE158" s="68"/>
      <c r="AF158" s="68"/>
      <c r="AG158" s="69">
        <f t="shared" si="100"/>
        <v>0</v>
      </c>
      <c r="AH158" s="80">
        <f>IF(AC158&gt;0,(Masts!$C$14/3)*0.9375,0)</f>
        <v>0</v>
      </c>
      <c r="AI158" s="81">
        <f>IF(AC158&gt;0,(Masts!$C$15/3)*0.9375,0)</f>
        <v>0</v>
      </c>
      <c r="AJ158" s="85">
        <f t="shared" si="101"/>
        <v>0</v>
      </c>
      <c r="AK158" s="83">
        <f>IF(AC158&gt;0,(Masts!$C$10/3)*0.9375,0)</f>
        <v>0</v>
      </c>
      <c r="AL158" s="84">
        <f>IF(AC158&gt;0,(Masts!$C$11/3)*0.9375,0)</f>
        <v>0</v>
      </c>
      <c r="AM158" s="85">
        <f t="shared" si="102"/>
        <v>0</v>
      </c>
      <c r="AN158" s="86">
        <f t="shared" si="103"/>
        <v>0</v>
      </c>
      <c r="AO158" s="87">
        <f t="shared" si="98"/>
        <v>0</v>
      </c>
      <c r="AP158" s="88">
        <f t="shared" si="99"/>
        <v>0</v>
      </c>
      <c r="AQ158" s="68"/>
      <c r="AR158" s="68"/>
      <c r="AS158" s="56">
        <f>'Ship Data Metric'!E23*0.03280839895</f>
        <v>0</v>
      </c>
      <c r="AT158" s="68"/>
      <c r="AU158" s="54"/>
      <c r="AV158" s="54"/>
      <c r="AW158" s="54"/>
      <c r="AX158" s="54"/>
      <c r="AY158" s="54"/>
    </row>
    <row r="159" ht="15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75"/>
      <c r="AB159" s="76" t="s">
        <v>27</v>
      </c>
      <c r="AC159" s="56">
        <f>IF('Ship Data Imperial'!E24&gt;0,'Ship Data Imperial'!E24,AS159)</f>
        <v>0</v>
      </c>
      <c r="AD159" s="68"/>
      <c r="AE159" s="68"/>
      <c r="AF159" s="68"/>
      <c r="AG159" s="69">
        <f t="shared" si="100"/>
        <v>0</v>
      </c>
      <c r="AH159" s="80">
        <f>IF(AC159&gt;0,(Masts!$C$14/3)*0.9375,0)</f>
        <v>0</v>
      </c>
      <c r="AI159" s="81">
        <f>IF(AC159&gt;0,(Masts!$C$15/3)*0.9375,0)</f>
        <v>0</v>
      </c>
      <c r="AJ159" s="85">
        <f t="shared" si="101"/>
        <v>0</v>
      </c>
      <c r="AK159" s="83">
        <f>IF(AC159&gt;0,(Masts!$C$10/3)*0.9375,0)</f>
        <v>0</v>
      </c>
      <c r="AL159" s="84">
        <f>IF(AC159&gt;0,(Masts!$C$11/3)*0.9375,0)</f>
        <v>0</v>
      </c>
      <c r="AM159" s="85">
        <f t="shared" si="102"/>
        <v>0</v>
      </c>
      <c r="AN159" s="86">
        <f t="shared" si="103"/>
        <v>0</v>
      </c>
      <c r="AO159" s="87">
        <f t="shared" si="98"/>
        <v>0</v>
      </c>
      <c r="AP159" s="88">
        <f t="shared" si="99"/>
        <v>0</v>
      </c>
      <c r="AQ159" s="68"/>
      <c r="AR159" s="68"/>
      <c r="AS159" s="56">
        <f>'Ship Data Metric'!E24*0.03280839895</f>
        <v>0</v>
      </c>
      <c r="AT159" s="68"/>
      <c r="AU159" s="54"/>
      <c r="AV159" s="54"/>
      <c r="AW159" s="54"/>
      <c r="AX159" s="54"/>
      <c r="AY159" s="54"/>
    </row>
    <row r="160" ht="15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75"/>
      <c r="AB160" s="76" t="s">
        <v>28</v>
      </c>
      <c r="AC160" s="56">
        <f>IF('Ship Data Imperial'!E25&gt;0,'Ship Data Imperial'!E25,AS160)</f>
        <v>0</v>
      </c>
      <c r="AD160" s="68"/>
      <c r="AE160" s="68"/>
      <c r="AF160" s="68"/>
      <c r="AG160" s="69">
        <f t="shared" si="100"/>
        <v>0</v>
      </c>
      <c r="AH160" s="80">
        <f>IF(AC160&gt;0,(Masts!$C$14/3)*0.9375,0)</f>
        <v>0</v>
      </c>
      <c r="AI160" s="81">
        <f>IF(AC160&gt;0,(Masts!$C$15/3)*0.9375,0)</f>
        <v>0</v>
      </c>
      <c r="AJ160" s="85">
        <f t="shared" si="101"/>
        <v>0</v>
      </c>
      <c r="AK160" s="83">
        <f>IF(AC160&gt;0,(Masts!$C$10/3)*0.9375,0)</f>
        <v>0</v>
      </c>
      <c r="AL160" s="84">
        <f>IF(AC160&gt;0,(Masts!$C$11/3)*0.9375,0)</f>
        <v>0</v>
      </c>
      <c r="AM160" s="85">
        <f t="shared" si="102"/>
        <v>0</v>
      </c>
      <c r="AN160" s="86">
        <f t="shared" si="103"/>
        <v>0</v>
      </c>
      <c r="AO160" s="87">
        <f t="shared" si="98"/>
        <v>0</v>
      </c>
      <c r="AP160" s="88">
        <f t="shared" si="99"/>
        <v>0</v>
      </c>
      <c r="AQ160" s="68"/>
      <c r="AR160" s="68"/>
      <c r="AS160" s="56">
        <f>'Ship Data Metric'!E25*0.03280839895</f>
        <v>0</v>
      </c>
      <c r="AT160" s="68"/>
      <c r="AU160" s="54"/>
      <c r="AV160" s="54"/>
      <c r="AW160" s="54"/>
      <c r="AX160" s="54"/>
      <c r="AY160" s="54"/>
    </row>
    <row r="161" ht="15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75"/>
      <c r="AB161" s="76" t="s">
        <v>29</v>
      </c>
      <c r="AC161" s="56">
        <f>IF('Ship Data Imperial'!E26&gt;0,'Ship Data Imperial'!E26,AS161)</f>
        <v>0</v>
      </c>
      <c r="AD161" s="68"/>
      <c r="AE161" s="68"/>
      <c r="AF161" s="68"/>
      <c r="AG161" s="69">
        <f t="shared" si="100"/>
        <v>0</v>
      </c>
      <c r="AH161" s="80">
        <f>IF(AC161&gt;0,(Masts!$C$14/3)*0.9375,0)</f>
        <v>0</v>
      </c>
      <c r="AI161" s="81">
        <f>IF(AC161&gt;0,(Masts!$C$15/3)*0.9375,0)</f>
        <v>0</v>
      </c>
      <c r="AJ161" s="85">
        <f t="shared" si="101"/>
        <v>0</v>
      </c>
      <c r="AK161" s="83">
        <f>IF(AC161&gt;0,(Masts!$C$10/3)*0.9375,0)</f>
        <v>0</v>
      </c>
      <c r="AL161" s="84">
        <f>IF(AC161&gt;0,(Masts!$C$11/3)*0.9375,0)</f>
        <v>0</v>
      </c>
      <c r="AM161" s="85">
        <f t="shared" si="102"/>
        <v>0</v>
      </c>
      <c r="AN161" s="86">
        <f t="shared" si="103"/>
        <v>0</v>
      </c>
      <c r="AO161" s="87">
        <f t="shared" si="98"/>
        <v>0</v>
      </c>
      <c r="AP161" s="88">
        <f t="shared" si="99"/>
        <v>0</v>
      </c>
      <c r="AQ161" s="68"/>
      <c r="AR161" s="68"/>
      <c r="AS161" s="56">
        <f>'Ship Data Metric'!E26*0.03280839895</f>
        <v>0</v>
      </c>
      <c r="AT161" s="68"/>
      <c r="AU161" s="54"/>
      <c r="AV161" s="54"/>
      <c r="AW161" s="54"/>
      <c r="AX161" s="54"/>
      <c r="AY161" s="54"/>
    </row>
    <row r="162" ht="15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75" t="s">
        <v>33</v>
      </c>
      <c r="AB162" s="76" t="s">
        <v>24</v>
      </c>
      <c r="AC162" s="56">
        <f>IF('Ship Data Imperial'!E27&gt;0,'Ship Data Imperial'!E27,AS162)</f>
        <v>0</v>
      </c>
      <c r="AD162" s="68"/>
      <c r="AE162" s="68"/>
      <c r="AF162" s="68"/>
      <c r="AG162" s="69">
        <f t="shared" si="100"/>
        <v>0</v>
      </c>
      <c r="AH162" s="80">
        <f>IF(AC162&gt;0,(Masts!$C$14/3)*0.9375,0)</f>
        <v>0</v>
      </c>
      <c r="AI162" s="81">
        <f>IF(AC162&gt;0,(Masts!$C$15/3)*0.9375,0)</f>
        <v>0</v>
      </c>
      <c r="AJ162" s="85">
        <f t="shared" si="101"/>
        <v>0</v>
      </c>
      <c r="AK162" s="83">
        <f>IF(AC162&gt;0,(Masts!$C$10/3)*0.9375,0)</f>
        <v>0</v>
      </c>
      <c r="AL162" s="84">
        <f>IF(AC162&gt;0,(Masts!$C$11/3)*0.9375,0)</f>
        <v>0</v>
      </c>
      <c r="AM162" s="85">
        <f t="shared" si="102"/>
        <v>0</v>
      </c>
      <c r="AN162" s="86">
        <f t="shared" si="103"/>
        <v>0</v>
      </c>
      <c r="AO162" s="87">
        <f t="shared" si="98"/>
        <v>0</v>
      </c>
      <c r="AP162" s="88">
        <f t="shared" si="99"/>
        <v>0</v>
      </c>
      <c r="AQ162" s="68"/>
      <c r="AR162" s="68"/>
      <c r="AS162" s="56">
        <f>'Ship Data Metric'!E27*0.03280839895</f>
        <v>0</v>
      </c>
      <c r="AT162" s="68"/>
      <c r="AU162" s="54"/>
      <c r="AV162" s="54"/>
      <c r="AW162" s="54"/>
      <c r="AX162" s="54"/>
      <c r="AY162" s="54"/>
    </row>
    <row r="163" ht="15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75"/>
      <c r="AB163" s="76" t="s">
        <v>25</v>
      </c>
      <c r="AC163" s="56">
        <f>IF('Ship Data Imperial'!E28&gt;0,'Ship Data Imperial'!E28,AS163)</f>
        <v>0</v>
      </c>
      <c r="AD163" s="68"/>
      <c r="AE163" s="68"/>
      <c r="AF163" s="68"/>
      <c r="AG163" s="69">
        <f t="shared" si="100"/>
        <v>0</v>
      </c>
      <c r="AH163" s="80">
        <f>IF(AC163&gt;0,(Masts!$C$14/3)*0.9375,0)</f>
        <v>0</v>
      </c>
      <c r="AI163" s="81">
        <f>IF(AC163&gt;0,(Masts!$C$15/3)*0.9375,0)</f>
        <v>0</v>
      </c>
      <c r="AJ163" s="85">
        <f t="shared" si="101"/>
        <v>0</v>
      </c>
      <c r="AK163" s="83">
        <f>IF(AC163&gt;0,(Masts!$C$10/3)*0.9375,0)</f>
        <v>0</v>
      </c>
      <c r="AL163" s="84">
        <f>IF(AC163&gt;0,(Masts!$C$11/3)*0.9375,0)</f>
        <v>0</v>
      </c>
      <c r="AM163" s="85">
        <f t="shared" si="102"/>
        <v>0</v>
      </c>
      <c r="AN163" s="86">
        <f t="shared" si="103"/>
        <v>0</v>
      </c>
      <c r="AO163" s="87">
        <f t="shared" si="98"/>
        <v>0</v>
      </c>
      <c r="AP163" s="88">
        <f t="shared" si="99"/>
        <v>0</v>
      </c>
      <c r="AQ163" s="68"/>
      <c r="AR163" s="68"/>
      <c r="AS163" s="56">
        <f>'Ship Data Metric'!E28*0.03280839895</f>
        <v>0</v>
      </c>
      <c r="AT163" s="68"/>
      <c r="AU163" s="54"/>
      <c r="AV163" s="54"/>
      <c r="AW163" s="54"/>
      <c r="AX163" s="54"/>
      <c r="AY163" s="54"/>
    </row>
    <row r="164" ht="15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75"/>
      <c r="AB164" s="76" t="s">
        <v>26</v>
      </c>
      <c r="AC164" s="56">
        <f>IF('Ship Data Imperial'!E29&gt;0,'Ship Data Imperial'!E29,AS164)</f>
        <v>0</v>
      </c>
      <c r="AD164" s="68"/>
      <c r="AE164" s="68"/>
      <c r="AF164" s="68"/>
      <c r="AG164" s="69">
        <f t="shared" si="100"/>
        <v>0</v>
      </c>
      <c r="AH164" s="80">
        <f>IF(AC164&gt;0,(Masts!$C$14/3)*0.9375,0)</f>
        <v>0</v>
      </c>
      <c r="AI164" s="81">
        <f>IF(AC164&gt;0,(Masts!$C$15/3)*0.9375,0)</f>
        <v>0</v>
      </c>
      <c r="AJ164" s="85">
        <f t="shared" si="101"/>
        <v>0</v>
      </c>
      <c r="AK164" s="83">
        <f>IF(AC164&gt;0,(Masts!$C$10/3)*0.9375,0)</f>
        <v>0</v>
      </c>
      <c r="AL164" s="84">
        <f>IF(AC164&gt;0,(Masts!$C$11/3)*0.9375,0)</f>
        <v>0</v>
      </c>
      <c r="AM164" s="85">
        <f t="shared" si="102"/>
        <v>0</v>
      </c>
      <c r="AN164" s="86">
        <f t="shared" si="103"/>
        <v>0</v>
      </c>
      <c r="AO164" s="87">
        <f t="shared" si="98"/>
        <v>0</v>
      </c>
      <c r="AP164" s="88">
        <f t="shared" si="99"/>
        <v>0</v>
      </c>
      <c r="AQ164" s="68"/>
      <c r="AR164" s="68"/>
      <c r="AS164" s="56">
        <f>'Ship Data Metric'!E29*0.03280839895</f>
        <v>0</v>
      </c>
      <c r="AT164" s="68"/>
      <c r="AU164" s="54"/>
      <c r="AV164" s="54"/>
      <c r="AW164" s="54"/>
      <c r="AX164" s="54"/>
      <c r="AY164" s="54"/>
    </row>
    <row r="165" ht="15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75"/>
      <c r="AB165" s="76" t="s">
        <v>27</v>
      </c>
      <c r="AC165" s="56">
        <f>IF('Ship Data Imperial'!E30&gt;0,'Ship Data Imperial'!E30,AS165)</f>
        <v>0</v>
      </c>
      <c r="AD165" s="68"/>
      <c r="AE165" s="68"/>
      <c r="AF165" s="68"/>
      <c r="AG165" s="69">
        <f t="shared" si="100"/>
        <v>0</v>
      </c>
      <c r="AH165" s="80">
        <f>IF(AC165&gt;0,(Masts!$C$14/3)*0.9375,0)</f>
        <v>0</v>
      </c>
      <c r="AI165" s="81">
        <f>IF(AC165&gt;0,(Masts!$C$15/3)*0.9375,0)</f>
        <v>0</v>
      </c>
      <c r="AJ165" s="85">
        <f t="shared" si="101"/>
        <v>0</v>
      </c>
      <c r="AK165" s="83">
        <f>IF(AC165&gt;0,(Masts!$C$10/3)*0.9375,0)</f>
        <v>0</v>
      </c>
      <c r="AL165" s="84">
        <f>IF(AC165&gt;0,(Masts!$C$11/3)*0.9375,0)</f>
        <v>0</v>
      </c>
      <c r="AM165" s="85">
        <f t="shared" si="102"/>
        <v>0</v>
      </c>
      <c r="AN165" s="86">
        <f t="shared" si="103"/>
        <v>0</v>
      </c>
      <c r="AO165" s="87">
        <f t="shared" si="98"/>
        <v>0</v>
      </c>
      <c r="AP165" s="88">
        <f t="shared" si="99"/>
        <v>0</v>
      </c>
      <c r="AQ165" s="68"/>
      <c r="AR165" s="68"/>
      <c r="AS165" s="56">
        <f>'Ship Data Metric'!E30*0.03280839895</f>
        <v>0</v>
      </c>
      <c r="AT165" s="68"/>
      <c r="AU165" s="54"/>
      <c r="AV165" s="54"/>
      <c r="AW165" s="54"/>
      <c r="AX165" s="54"/>
      <c r="AY165" s="54"/>
    </row>
    <row r="166" ht="15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75"/>
      <c r="AB166" s="76" t="s">
        <v>28</v>
      </c>
      <c r="AC166" s="56">
        <f>IF('Ship Data Imperial'!E31&gt;0,'Ship Data Imperial'!E31,AS166)</f>
        <v>0</v>
      </c>
      <c r="AD166" s="68"/>
      <c r="AE166" s="68"/>
      <c r="AF166" s="68"/>
      <c r="AG166" s="69">
        <f t="shared" si="100"/>
        <v>0</v>
      </c>
      <c r="AH166" s="80">
        <f>IF(AC166&gt;0,(Masts!$C$14/3)*0.9375,0)</f>
        <v>0</v>
      </c>
      <c r="AI166" s="81">
        <f>IF(AC166&gt;0,(Masts!$C$15/3)*0.9375,0)</f>
        <v>0</v>
      </c>
      <c r="AJ166" s="85">
        <f t="shared" si="101"/>
        <v>0</v>
      </c>
      <c r="AK166" s="83">
        <f>IF(AC166&gt;0,(Masts!$C$10/3)*0.9375,0)</f>
        <v>0</v>
      </c>
      <c r="AL166" s="84">
        <f>IF(AC166&gt;0,(Masts!$C$11/3)*0.9375,0)</f>
        <v>0</v>
      </c>
      <c r="AM166" s="85">
        <f t="shared" si="102"/>
        <v>0</v>
      </c>
      <c r="AN166" s="86">
        <f t="shared" si="103"/>
        <v>0</v>
      </c>
      <c r="AO166" s="87">
        <f t="shared" si="98"/>
        <v>0</v>
      </c>
      <c r="AP166" s="88">
        <f t="shared" si="99"/>
        <v>0</v>
      </c>
      <c r="AQ166" s="68"/>
      <c r="AR166" s="68"/>
      <c r="AS166" s="56">
        <f>'Ship Data Metric'!E31*0.03280839895</f>
        <v>0</v>
      </c>
      <c r="AT166" s="68"/>
      <c r="AU166" s="54"/>
      <c r="AV166" s="54"/>
      <c r="AW166" s="54"/>
      <c r="AX166" s="54"/>
      <c r="AY166" s="54"/>
    </row>
    <row r="167" ht="15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75"/>
      <c r="AB167" s="76" t="s">
        <v>29</v>
      </c>
      <c r="AC167" s="56">
        <f>IF('Ship Data Imperial'!E32&gt;0,'Ship Data Imperial'!E32,AS167)</f>
        <v>0</v>
      </c>
      <c r="AD167" s="68"/>
      <c r="AE167" s="68"/>
      <c r="AF167" s="68"/>
      <c r="AG167" s="69">
        <f t="shared" si="100"/>
        <v>0</v>
      </c>
      <c r="AH167" s="80">
        <f>IF(AC167&gt;0,(Masts!$C$14/3)*0.9375,0)</f>
        <v>0</v>
      </c>
      <c r="AI167" s="81">
        <f>IF(AC167&gt;0,(Masts!$C$15/3)*0.9375,0)</f>
        <v>0</v>
      </c>
      <c r="AJ167" s="85">
        <f t="shared" si="101"/>
        <v>0</v>
      </c>
      <c r="AK167" s="83">
        <f>IF(AC167&gt;0,(Masts!$C$10/3)*0.9375,0)</f>
        <v>0</v>
      </c>
      <c r="AL167" s="84">
        <f>IF(AC167&gt;0,(Masts!$C$11/3)*0.9375,0)</f>
        <v>0</v>
      </c>
      <c r="AM167" s="85">
        <f t="shared" si="102"/>
        <v>0</v>
      </c>
      <c r="AN167" s="86">
        <f t="shared" si="103"/>
        <v>0</v>
      </c>
      <c r="AO167" s="87">
        <f t="shared" si="98"/>
        <v>0</v>
      </c>
      <c r="AP167" s="88">
        <f t="shared" si="99"/>
        <v>0</v>
      </c>
      <c r="AQ167" s="68"/>
      <c r="AR167" s="68"/>
      <c r="AS167" s="56">
        <f>'Ship Data Metric'!E32*0.03280839895</f>
        <v>0</v>
      </c>
      <c r="AT167" s="68"/>
      <c r="AU167" s="54"/>
      <c r="AV167" s="54"/>
      <c r="AW167" s="54"/>
      <c r="AX167" s="54"/>
      <c r="AY167" s="54"/>
    </row>
    <row r="168" ht="15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75" t="s">
        <v>34</v>
      </c>
      <c r="AB168" s="76" t="s">
        <v>24</v>
      </c>
      <c r="AC168" s="56">
        <f>IF('Ship Data Imperial'!E33&gt;0,'Ship Data Imperial'!E33,AS168)</f>
        <v>0</v>
      </c>
      <c r="AD168" s="68"/>
      <c r="AE168" s="68"/>
      <c r="AF168" s="68"/>
      <c r="AG168" s="69">
        <f t="shared" si="100"/>
        <v>0</v>
      </c>
      <c r="AH168" s="80">
        <f>IF(AC168&gt;0,(Masts!$C$14/3)*0.9375,0)</f>
        <v>0</v>
      </c>
      <c r="AI168" s="81">
        <f>IF(AC168&gt;0,(Masts!$C$15/3)*0.9375,0)</f>
        <v>0</v>
      </c>
      <c r="AJ168" s="85">
        <f t="shared" si="101"/>
        <v>0</v>
      </c>
      <c r="AK168" s="83">
        <f>IF(AC168&gt;0,(Masts!$C$10/3)*0.9375,0)</f>
        <v>0</v>
      </c>
      <c r="AL168" s="84">
        <f>IF(AC168&gt;0,(Masts!$C$11/3)*0.9375,0)</f>
        <v>0</v>
      </c>
      <c r="AM168" s="85">
        <f t="shared" si="102"/>
        <v>0</v>
      </c>
      <c r="AN168" s="86">
        <f t="shared" si="103"/>
        <v>0</v>
      </c>
      <c r="AO168" s="87">
        <f t="shared" si="98"/>
        <v>0</v>
      </c>
      <c r="AP168" s="88">
        <f t="shared" si="99"/>
        <v>0</v>
      </c>
      <c r="AQ168" s="68"/>
      <c r="AR168" s="68"/>
      <c r="AS168" s="56">
        <f>'Ship Data Metric'!E33*0.03280839895</f>
        <v>0</v>
      </c>
      <c r="AT168" s="68"/>
      <c r="AU168" s="54"/>
      <c r="AV168" s="54"/>
      <c r="AW168" s="54"/>
      <c r="AX168" s="54"/>
      <c r="AY168" s="54"/>
    </row>
    <row r="169" ht="15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75"/>
      <c r="AB169" s="76" t="s">
        <v>25</v>
      </c>
      <c r="AC169" s="56">
        <f>IF('Ship Data Imperial'!E34&gt;0,'Ship Data Imperial'!E34,AS169)</f>
        <v>0</v>
      </c>
      <c r="AD169" s="68"/>
      <c r="AE169" s="68"/>
      <c r="AF169" s="68"/>
      <c r="AG169" s="69">
        <f t="shared" si="100"/>
        <v>0</v>
      </c>
      <c r="AH169" s="80">
        <f>IF(AC169&gt;0,(Masts!$C$14/3)*0.9375,0)</f>
        <v>0</v>
      </c>
      <c r="AI169" s="81">
        <f>IF(AC169&gt;0,(Masts!$C$15/3)*0.9375,0)</f>
        <v>0</v>
      </c>
      <c r="AJ169" s="85">
        <f t="shared" si="101"/>
        <v>0</v>
      </c>
      <c r="AK169" s="83">
        <f>IF(AC169&gt;0,(Masts!$C$10/3)*0.9375,0)</f>
        <v>0</v>
      </c>
      <c r="AL169" s="84">
        <f>IF(AC169&gt;0,(Masts!$C$11/3)*0.9375,0)</f>
        <v>0</v>
      </c>
      <c r="AM169" s="85">
        <f t="shared" si="102"/>
        <v>0</v>
      </c>
      <c r="AN169" s="86">
        <f t="shared" si="103"/>
        <v>0</v>
      </c>
      <c r="AO169" s="87">
        <f t="shared" si="98"/>
        <v>0</v>
      </c>
      <c r="AP169" s="88">
        <f t="shared" si="99"/>
        <v>0</v>
      </c>
      <c r="AQ169" s="68"/>
      <c r="AR169" s="68"/>
      <c r="AS169" s="56">
        <f>'Ship Data Metric'!E34*0.03280839895</f>
        <v>0</v>
      </c>
      <c r="AT169" s="68"/>
      <c r="AU169" s="54"/>
      <c r="AV169" s="54"/>
      <c r="AW169" s="54"/>
      <c r="AX169" s="54"/>
      <c r="AY169" s="54"/>
    </row>
    <row r="170" ht="15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75"/>
      <c r="AB170" s="76" t="s">
        <v>26</v>
      </c>
      <c r="AC170" s="56">
        <f>IF('Ship Data Imperial'!E35&gt;0,'Ship Data Imperial'!E35,AS170)</f>
        <v>0</v>
      </c>
      <c r="AD170" s="68"/>
      <c r="AE170" s="68"/>
      <c r="AF170" s="68"/>
      <c r="AG170" s="69">
        <f t="shared" si="100"/>
        <v>0</v>
      </c>
      <c r="AH170" s="80">
        <f>IF(AC170&gt;0,(Masts!$C$14/3)*0.9375,0)</f>
        <v>0</v>
      </c>
      <c r="AI170" s="81">
        <f>IF(AC170&gt;0,(Masts!$C$15/3)*0.9375,0)</f>
        <v>0</v>
      </c>
      <c r="AJ170" s="85">
        <f t="shared" si="101"/>
        <v>0</v>
      </c>
      <c r="AK170" s="83">
        <f>IF(AC170&gt;0,(Masts!$C$10/3)*0.9375,0)</f>
        <v>0</v>
      </c>
      <c r="AL170" s="84">
        <f>IF(AC170&gt;0,(Masts!$C$11/3)*0.9375,0)</f>
        <v>0</v>
      </c>
      <c r="AM170" s="85">
        <f t="shared" si="102"/>
        <v>0</v>
      </c>
      <c r="AN170" s="86">
        <f t="shared" si="103"/>
        <v>0</v>
      </c>
      <c r="AO170" s="87">
        <f t="shared" si="98"/>
        <v>0</v>
      </c>
      <c r="AP170" s="88">
        <f t="shared" si="99"/>
        <v>0</v>
      </c>
      <c r="AQ170" s="68"/>
      <c r="AR170" s="68"/>
      <c r="AS170" s="56">
        <f>'Ship Data Metric'!E35*0.03280839895</f>
        <v>0</v>
      </c>
      <c r="AT170" s="68"/>
      <c r="AU170" s="54"/>
      <c r="AV170" s="54"/>
      <c r="AW170" s="54"/>
      <c r="AX170" s="54"/>
      <c r="AY170" s="54"/>
    </row>
    <row r="171" ht="15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75"/>
      <c r="AB171" s="76" t="s">
        <v>27</v>
      </c>
      <c r="AC171" s="56">
        <f>IF('Ship Data Imperial'!E36&gt;0,'Ship Data Imperial'!E36,AS171)</f>
        <v>0</v>
      </c>
      <c r="AD171" s="68"/>
      <c r="AE171" s="68"/>
      <c r="AF171" s="68"/>
      <c r="AG171" s="69">
        <f t="shared" si="100"/>
        <v>0</v>
      </c>
      <c r="AH171" s="80">
        <f>IF(AC171&gt;0,(Masts!$C$14/3)*0.9375,0)</f>
        <v>0</v>
      </c>
      <c r="AI171" s="81">
        <f>IF(AC171&gt;0,(Masts!$C$15/3)*0.9375,0)</f>
        <v>0</v>
      </c>
      <c r="AJ171" s="85">
        <f t="shared" si="101"/>
        <v>0</v>
      </c>
      <c r="AK171" s="83">
        <f>IF(AC171&gt;0,(Masts!$C$10/3)*0.9375,0)</f>
        <v>0</v>
      </c>
      <c r="AL171" s="84">
        <f>IF(AC171&gt;0,(Masts!$C$11/3)*0.9375,0)</f>
        <v>0</v>
      </c>
      <c r="AM171" s="85">
        <f t="shared" si="102"/>
        <v>0</v>
      </c>
      <c r="AN171" s="86">
        <f t="shared" si="103"/>
        <v>0</v>
      </c>
      <c r="AO171" s="87">
        <f t="shared" si="98"/>
        <v>0</v>
      </c>
      <c r="AP171" s="88">
        <f t="shared" si="99"/>
        <v>0</v>
      </c>
      <c r="AQ171" s="68"/>
      <c r="AR171" s="68"/>
      <c r="AS171" s="56">
        <f>'Ship Data Metric'!E36*0.03280839895</f>
        <v>0</v>
      </c>
      <c r="AT171" s="68"/>
      <c r="AU171" s="54"/>
      <c r="AV171" s="54"/>
      <c r="AW171" s="54"/>
      <c r="AX171" s="54"/>
      <c r="AY171" s="54"/>
    </row>
    <row r="172" ht="15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75"/>
      <c r="AB172" s="76" t="s">
        <v>28</v>
      </c>
      <c r="AC172" s="56">
        <f>IF('Ship Data Imperial'!E37&gt;0,'Ship Data Imperial'!E37,AS172)</f>
        <v>0</v>
      </c>
      <c r="AD172" s="68"/>
      <c r="AE172" s="68"/>
      <c r="AF172" s="68"/>
      <c r="AG172" s="69">
        <f t="shared" si="100"/>
        <v>0</v>
      </c>
      <c r="AH172" s="80">
        <f>IF(AC172&gt;0,(Masts!$C$14/3)*0.9375,0)</f>
        <v>0</v>
      </c>
      <c r="AI172" s="81">
        <f>IF(AC172&gt;0,(Masts!$C$15/3)*0.9375,0)</f>
        <v>0</v>
      </c>
      <c r="AJ172" s="85">
        <f t="shared" si="101"/>
        <v>0</v>
      </c>
      <c r="AK172" s="83">
        <f>IF(AC172&gt;0,(Masts!$C$10/3)*0.9375,0)</f>
        <v>0</v>
      </c>
      <c r="AL172" s="84">
        <f>IF(AC172&gt;0,(Masts!$C$11/3)*0.9375,0)</f>
        <v>0</v>
      </c>
      <c r="AM172" s="85">
        <f t="shared" si="102"/>
        <v>0</v>
      </c>
      <c r="AN172" s="86">
        <f t="shared" si="103"/>
        <v>0</v>
      </c>
      <c r="AO172" s="87">
        <f t="shared" si="98"/>
        <v>0</v>
      </c>
      <c r="AP172" s="88">
        <f t="shared" si="99"/>
        <v>0</v>
      </c>
      <c r="AQ172" s="68"/>
      <c r="AR172" s="68"/>
      <c r="AS172" s="56">
        <f>'Ship Data Metric'!E37*0.03280839895</f>
        <v>0</v>
      </c>
      <c r="AT172" s="68"/>
      <c r="AU172" s="54"/>
      <c r="AV172" s="54"/>
      <c r="AW172" s="54"/>
      <c r="AX172" s="54"/>
      <c r="AY172" s="54"/>
    </row>
    <row r="173" ht="15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75"/>
      <c r="AB173" s="76" t="s">
        <v>29</v>
      </c>
      <c r="AC173" s="56">
        <f>IF('Ship Data Imperial'!E38&gt;0,'Ship Data Imperial'!E38,AS173)</f>
        <v>0</v>
      </c>
      <c r="AD173" s="68"/>
      <c r="AE173" s="68"/>
      <c r="AF173" s="68"/>
      <c r="AG173" s="69">
        <f t="shared" si="100"/>
        <v>0</v>
      </c>
      <c r="AH173" s="80">
        <f>IF(AC173&gt;0,(Masts!$C$14/3)*0.9375,0)</f>
        <v>0</v>
      </c>
      <c r="AI173" s="81">
        <f>IF(AC173&gt;0,(Masts!$C$15/3)*0.9375,0)</f>
        <v>0</v>
      </c>
      <c r="AJ173" s="85">
        <f t="shared" si="101"/>
        <v>0</v>
      </c>
      <c r="AK173" s="83">
        <f>IF(AC173&gt;0,(Masts!$C$10/3)*0.9375,0)</f>
        <v>0</v>
      </c>
      <c r="AL173" s="84">
        <f>IF(AC173&gt;0,(Masts!$C$11/3)*0.9375,0)</f>
        <v>0</v>
      </c>
      <c r="AM173" s="85">
        <f t="shared" si="102"/>
        <v>0</v>
      </c>
      <c r="AN173" s="86">
        <f t="shared" si="103"/>
        <v>0</v>
      </c>
      <c r="AO173" s="87">
        <f t="shared" si="98"/>
        <v>0</v>
      </c>
      <c r="AP173" s="88">
        <f t="shared" si="99"/>
        <v>0</v>
      </c>
      <c r="AQ173" s="68"/>
      <c r="AR173" s="68"/>
      <c r="AS173" s="56">
        <f>'Ship Data Metric'!E38*0.03280839895</f>
        <v>0</v>
      </c>
      <c r="AT173" s="68"/>
      <c r="AU173" s="54"/>
      <c r="AV173" s="54"/>
      <c r="AW173" s="54"/>
      <c r="AX173" s="54"/>
      <c r="AY173" s="54"/>
    </row>
    <row r="174" ht="15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75" t="s">
        <v>35</v>
      </c>
      <c r="AB174" s="76" t="s">
        <v>24</v>
      </c>
      <c r="AC174" s="56">
        <f>IF('Ship Data Imperial'!E39&gt;0,'Ship Data Imperial'!E39,AS174)</f>
        <v>0</v>
      </c>
      <c r="AD174" s="68"/>
      <c r="AE174" s="68"/>
      <c r="AF174" s="68"/>
      <c r="AG174" s="69">
        <f t="shared" si="100"/>
        <v>0</v>
      </c>
      <c r="AH174" s="80">
        <f>IF(AC174&gt;0,(Masts!$C$14/3)*0.9375,0)</f>
        <v>0</v>
      </c>
      <c r="AI174" s="81">
        <f>IF(AC174&gt;0,(Masts!$C$15/3)*0.9375,0)</f>
        <v>0</v>
      </c>
      <c r="AJ174" s="85">
        <f t="shared" si="101"/>
        <v>0</v>
      </c>
      <c r="AK174" s="83">
        <f>IF(AC174&gt;0,(Masts!$C$10/3)*0.9375,0)</f>
        <v>0</v>
      </c>
      <c r="AL174" s="84">
        <f>IF(AC174&gt;0,(Masts!$C$11/3)*0.9375,0)</f>
        <v>0</v>
      </c>
      <c r="AM174" s="85">
        <f t="shared" si="102"/>
        <v>0</v>
      </c>
      <c r="AN174" s="86">
        <f t="shared" si="103"/>
        <v>0</v>
      </c>
      <c r="AO174" s="87">
        <f t="shared" si="98"/>
        <v>0</v>
      </c>
      <c r="AP174" s="88">
        <f t="shared" si="99"/>
        <v>0</v>
      </c>
      <c r="AQ174" s="68"/>
      <c r="AR174" s="68"/>
      <c r="AS174" s="56">
        <f>'Ship Data Metric'!E39*0.03280839895</f>
        <v>0</v>
      </c>
      <c r="AT174" s="68"/>
      <c r="AU174" s="54"/>
      <c r="AV174" s="54"/>
      <c r="AW174" s="54"/>
      <c r="AX174" s="54"/>
      <c r="AY174" s="54"/>
    </row>
    <row r="175" ht="15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75"/>
      <c r="AB175" s="76" t="s">
        <v>25</v>
      </c>
      <c r="AC175" s="56">
        <f>IF('Ship Data Imperial'!E40&gt;0,'Ship Data Imperial'!E40,AS175)</f>
        <v>0</v>
      </c>
      <c r="AD175" s="68"/>
      <c r="AE175" s="68"/>
      <c r="AF175" s="68"/>
      <c r="AG175" s="69">
        <f t="shared" si="100"/>
        <v>0</v>
      </c>
      <c r="AH175" s="80">
        <f>IF(AC175&gt;0,(Masts!$C$14/3)*0.9375,0)</f>
        <v>0</v>
      </c>
      <c r="AI175" s="81">
        <f>IF(AC175&gt;0,(Masts!$C$15/3)*0.9375,0)</f>
        <v>0</v>
      </c>
      <c r="AJ175" s="85">
        <f t="shared" si="101"/>
        <v>0</v>
      </c>
      <c r="AK175" s="83">
        <f>IF(AC175&gt;0,(Masts!$C$10/3)*0.9375,0)</f>
        <v>0</v>
      </c>
      <c r="AL175" s="84">
        <f>IF(AC175&gt;0,(Masts!$C$11/3)*0.9375,0)</f>
        <v>0</v>
      </c>
      <c r="AM175" s="85">
        <f t="shared" si="102"/>
        <v>0</v>
      </c>
      <c r="AN175" s="86">
        <f t="shared" si="103"/>
        <v>0</v>
      </c>
      <c r="AO175" s="87">
        <f t="shared" si="98"/>
        <v>0</v>
      </c>
      <c r="AP175" s="88">
        <f t="shared" si="99"/>
        <v>0</v>
      </c>
      <c r="AQ175" s="68"/>
      <c r="AR175" s="68"/>
      <c r="AS175" s="56">
        <f>'Ship Data Metric'!E40*0.03280839895</f>
        <v>0</v>
      </c>
      <c r="AT175" s="68"/>
      <c r="AU175" s="54"/>
      <c r="AV175" s="54"/>
      <c r="AW175" s="54"/>
      <c r="AX175" s="54"/>
      <c r="AY175" s="54"/>
    </row>
    <row r="176" ht="15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75"/>
      <c r="AB176" s="76" t="s">
        <v>26</v>
      </c>
      <c r="AC176" s="56">
        <f>IF('Ship Data Imperial'!E41&gt;0,'Ship Data Imperial'!E41,AS176)</f>
        <v>0</v>
      </c>
      <c r="AD176" s="68"/>
      <c r="AE176" s="68"/>
      <c r="AF176" s="68"/>
      <c r="AG176" s="69">
        <f t="shared" si="100"/>
        <v>0</v>
      </c>
      <c r="AH176" s="80">
        <f>IF(AC176&gt;0,(Masts!$C$14/3)*0.9375,0)</f>
        <v>0</v>
      </c>
      <c r="AI176" s="81">
        <f>IF(AC176&gt;0,(Masts!$C$15/3)*0.9375,0)</f>
        <v>0</v>
      </c>
      <c r="AJ176" s="85">
        <f t="shared" si="101"/>
        <v>0</v>
      </c>
      <c r="AK176" s="83">
        <f>IF(AC176&gt;0,(Masts!$C$10/3)*0.9375,0)</f>
        <v>0</v>
      </c>
      <c r="AL176" s="84">
        <f>IF(AC176&gt;0,(Masts!$C$11/3)*0.9375,0)</f>
        <v>0</v>
      </c>
      <c r="AM176" s="85">
        <f t="shared" si="102"/>
        <v>0</v>
      </c>
      <c r="AN176" s="86">
        <f t="shared" si="103"/>
        <v>0</v>
      </c>
      <c r="AO176" s="87">
        <f t="shared" si="98"/>
        <v>0</v>
      </c>
      <c r="AP176" s="88">
        <f t="shared" si="99"/>
        <v>0</v>
      </c>
      <c r="AQ176" s="68"/>
      <c r="AR176" s="68"/>
      <c r="AS176" s="56">
        <f>'Ship Data Metric'!E41*0.03280839895</f>
        <v>0</v>
      </c>
      <c r="AT176" s="68"/>
      <c r="AU176" s="54"/>
      <c r="AV176" s="54"/>
      <c r="AW176" s="54"/>
      <c r="AX176" s="54"/>
      <c r="AY176" s="54"/>
    </row>
    <row r="177" ht="15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75"/>
      <c r="AB177" s="76" t="s">
        <v>27</v>
      </c>
      <c r="AC177" s="56">
        <f>IF('Ship Data Imperial'!E42&gt;0,'Ship Data Imperial'!E42,AS177)</f>
        <v>0</v>
      </c>
      <c r="AD177" s="68"/>
      <c r="AE177" s="68"/>
      <c r="AF177" s="68"/>
      <c r="AG177" s="69">
        <f t="shared" si="100"/>
        <v>0</v>
      </c>
      <c r="AH177" s="80">
        <f>IF(AC177&gt;0,(Masts!$C$14/3)*0.9375,0)</f>
        <v>0</v>
      </c>
      <c r="AI177" s="81">
        <f>IF(AC177&gt;0,(Masts!$C$15/3)*0.9375,0)</f>
        <v>0</v>
      </c>
      <c r="AJ177" s="85">
        <f t="shared" si="101"/>
        <v>0</v>
      </c>
      <c r="AK177" s="83">
        <f>IF(AC177&gt;0,(Masts!$C$10/3)*0.9375,0)</f>
        <v>0</v>
      </c>
      <c r="AL177" s="84">
        <f>IF(AC177&gt;0,(Masts!$C$11/3)*0.9375,0)</f>
        <v>0</v>
      </c>
      <c r="AM177" s="85">
        <f t="shared" si="102"/>
        <v>0</v>
      </c>
      <c r="AN177" s="86">
        <f t="shared" si="103"/>
        <v>0</v>
      </c>
      <c r="AO177" s="87">
        <f t="shared" si="98"/>
        <v>0</v>
      </c>
      <c r="AP177" s="88">
        <f t="shared" si="99"/>
        <v>0</v>
      </c>
      <c r="AQ177" s="68"/>
      <c r="AR177" s="68"/>
      <c r="AS177" s="56">
        <f>'Ship Data Metric'!E42*0.03280839895</f>
        <v>0</v>
      </c>
      <c r="AT177" s="68"/>
      <c r="AU177" s="54"/>
      <c r="AV177" s="54"/>
      <c r="AW177" s="54"/>
      <c r="AX177" s="54"/>
      <c r="AY177" s="54"/>
    </row>
    <row r="178" ht="15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75"/>
      <c r="AB178" s="76" t="s">
        <v>28</v>
      </c>
      <c r="AC178" s="56">
        <f>IF('Ship Data Imperial'!E43&gt;0,'Ship Data Imperial'!E43,AS178)</f>
        <v>0</v>
      </c>
      <c r="AD178" s="68"/>
      <c r="AE178" s="68"/>
      <c r="AF178" s="68"/>
      <c r="AG178" s="69">
        <f t="shared" si="100"/>
        <v>0</v>
      </c>
      <c r="AH178" s="80">
        <f>IF(AC178&gt;0,(Masts!$C$14/3)*0.9375,0)</f>
        <v>0</v>
      </c>
      <c r="AI178" s="81">
        <f>IF(AC178&gt;0,(Masts!$C$15/3)*0.9375,0)</f>
        <v>0</v>
      </c>
      <c r="AJ178" s="85">
        <f t="shared" si="101"/>
        <v>0</v>
      </c>
      <c r="AK178" s="83">
        <f>IF(AC178&gt;0,(Masts!$C$10/3)*0.9375,0)</f>
        <v>0</v>
      </c>
      <c r="AL178" s="84">
        <f>IF(AC178&gt;0,(Masts!$C$11/3)*0.9375,0)</f>
        <v>0</v>
      </c>
      <c r="AM178" s="85">
        <f t="shared" si="102"/>
        <v>0</v>
      </c>
      <c r="AN178" s="86">
        <f t="shared" si="103"/>
        <v>0</v>
      </c>
      <c r="AO178" s="87">
        <f t="shared" si="98"/>
        <v>0</v>
      </c>
      <c r="AP178" s="88">
        <f t="shared" si="99"/>
        <v>0</v>
      </c>
      <c r="AQ178" s="68"/>
      <c r="AR178" s="68"/>
      <c r="AS178" s="56">
        <f>'Ship Data Metric'!E43*0.03280839895</f>
        <v>0</v>
      </c>
      <c r="AT178" s="68"/>
      <c r="AU178" s="54"/>
      <c r="AV178" s="54"/>
      <c r="AW178" s="54"/>
      <c r="AX178" s="54"/>
      <c r="AY178" s="54"/>
    </row>
    <row r="179" ht="15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75"/>
      <c r="AB179" s="76" t="s">
        <v>29</v>
      </c>
      <c r="AC179" s="56">
        <f>IF('Ship Data Imperial'!E44&gt;0,'Ship Data Imperial'!E44,AS179)</f>
        <v>0</v>
      </c>
      <c r="AD179" s="68"/>
      <c r="AE179" s="68"/>
      <c r="AF179" s="68"/>
      <c r="AG179" s="69">
        <f t="shared" si="100"/>
        <v>0</v>
      </c>
      <c r="AH179" s="80">
        <f>IF(AC179&gt;0,(Masts!$C$14/3)*0.9375,0)</f>
        <v>0</v>
      </c>
      <c r="AI179" s="81">
        <f>IF(AC179&gt;0,(Masts!$C$15/3)*0.9375,0)</f>
        <v>0</v>
      </c>
      <c r="AJ179" s="85">
        <f t="shared" si="101"/>
        <v>0</v>
      </c>
      <c r="AK179" s="83">
        <f>IF(AC179&gt;0,(Masts!$C$10/3)*0.9375,0)</f>
        <v>0</v>
      </c>
      <c r="AL179" s="84">
        <f>IF(AC179&gt;0,(Masts!$C$11/3)*0.9375,0)</f>
        <v>0</v>
      </c>
      <c r="AM179" s="85">
        <f t="shared" si="102"/>
        <v>0</v>
      </c>
      <c r="AN179" s="86">
        <f t="shared" si="103"/>
        <v>0</v>
      </c>
      <c r="AO179" s="87">
        <f t="shared" si="98"/>
        <v>0</v>
      </c>
      <c r="AP179" s="88">
        <f t="shared" si="99"/>
        <v>0</v>
      </c>
      <c r="AQ179" s="68"/>
      <c r="AR179" s="68"/>
      <c r="AS179" s="56">
        <f>'Ship Data Metric'!E44*0.03280839895</f>
        <v>0</v>
      </c>
      <c r="AT179" s="68"/>
      <c r="AU179" s="54"/>
      <c r="AV179" s="54"/>
      <c r="AW179" s="54"/>
      <c r="AX179" s="54"/>
      <c r="AY179" s="54"/>
    </row>
    <row r="180" ht="15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75" t="s">
        <v>36</v>
      </c>
      <c r="AB180" s="76" t="s">
        <v>24</v>
      </c>
      <c r="AC180" s="56">
        <f>IF('Ship Data Imperial'!E45&gt;0,'Ship Data Imperial'!E45,AS180)</f>
        <v>0</v>
      </c>
      <c r="AD180" s="68"/>
      <c r="AE180" s="68"/>
      <c r="AF180" s="68"/>
      <c r="AG180" s="69">
        <f t="shared" si="100"/>
        <v>0</v>
      </c>
      <c r="AH180" s="80">
        <f>IF(AC180&gt;0,(Masts!$C$14/3)*0.9375,0)</f>
        <v>0</v>
      </c>
      <c r="AI180" s="81">
        <f>IF(AC180&gt;0,(Masts!$C$15/3)*0.9375,0)</f>
        <v>0</v>
      </c>
      <c r="AJ180" s="85">
        <f t="shared" si="101"/>
        <v>0</v>
      </c>
      <c r="AK180" s="83">
        <f>IF(AC180&gt;0,(Masts!$C$10/3)*0.9375,0)</f>
        <v>0</v>
      </c>
      <c r="AL180" s="84">
        <f>IF(AC180&gt;0,(Masts!$C$11/3)*0.9375,0)</f>
        <v>0</v>
      </c>
      <c r="AM180" s="85">
        <f t="shared" si="102"/>
        <v>0</v>
      </c>
      <c r="AN180" s="86">
        <f t="shared" si="103"/>
        <v>0</v>
      </c>
      <c r="AO180" s="87">
        <f t="shared" si="98"/>
        <v>0</v>
      </c>
      <c r="AP180" s="88">
        <f t="shared" si="99"/>
        <v>0</v>
      </c>
      <c r="AQ180" s="68"/>
      <c r="AR180" s="68"/>
      <c r="AS180" s="56">
        <f>'Ship Data Metric'!E45*0.03280839895</f>
        <v>0</v>
      </c>
      <c r="AT180" s="68"/>
      <c r="AU180" s="54"/>
      <c r="AV180" s="54"/>
      <c r="AW180" s="54"/>
      <c r="AX180" s="54"/>
      <c r="AY180" s="54"/>
    </row>
    <row r="181" ht="15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75"/>
      <c r="AB181" s="76" t="s">
        <v>25</v>
      </c>
      <c r="AC181" s="56">
        <f>IF('Ship Data Imperial'!E46&gt;0,'Ship Data Imperial'!E46,AS181)</f>
        <v>0</v>
      </c>
      <c r="AD181" s="68"/>
      <c r="AE181" s="68"/>
      <c r="AF181" s="68"/>
      <c r="AG181" s="69">
        <f t="shared" si="100"/>
        <v>0</v>
      </c>
      <c r="AH181" s="80">
        <f>IF(AC181&gt;0,(Masts!$C$14/3)*0.9375,0)</f>
        <v>0</v>
      </c>
      <c r="AI181" s="81">
        <f>IF(AC181&gt;0,(Masts!$C$15/3)*0.9375,0)</f>
        <v>0</v>
      </c>
      <c r="AJ181" s="85">
        <f t="shared" si="101"/>
        <v>0</v>
      </c>
      <c r="AK181" s="83">
        <f>IF(AC181&gt;0,(Masts!$C$10/3)*0.9375,0)</f>
        <v>0</v>
      </c>
      <c r="AL181" s="84">
        <f>IF(AC181&gt;0,(Masts!$C$11/3)*0.9375,0)</f>
        <v>0</v>
      </c>
      <c r="AM181" s="85">
        <f t="shared" si="102"/>
        <v>0</v>
      </c>
      <c r="AN181" s="86">
        <f t="shared" si="103"/>
        <v>0</v>
      </c>
      <c r="AO181" s="87">
        <f t="shared" si="98"/>
        <v>0</v>
      </c>
      <c r="AP181" s="88">
        <f t="shared" si="99"/>
        <v>0</v>
      </c>
      <c r="AQ181" s="68"/>
      <c r="AR181" s="68"/>
      <c r="AS181" s="56">
        <f>'Ship Data Metric'!E46*0.03280839895</f>
        <v>0</v>
      </c>
      <c r="AT181" s="68"/>
      <c r="AU181" s="54"/>
      <c r="AV181" s="54"/>
      <c r="AW181" s="54"/>
      <c r="AX181" s="54"/>
      <c r="AY181" s="54"/>
    </row>
    <row r="182" ht="15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75"/>
      <c r="AB182" s="76" t="s">
        <v>26</v>
      </c>
      <c r="AC182" s="56">
        <f>IF('Ship Data Imperial'!E47&gt;0,'Ship Data Imperial'!E47,AS182)</f>
        <v>0</v>
      </c>
      <c r="AD182" s="68"/>
      <c r="AE182" s="68"/>
      <c r="AF182" s="68"/>
      <c r="AG182" s="69">
        <f t="shared" si="100"/>
        <v>0</v>
      </c>
      <c r="AH182" s="80">
        <f>IF(AC182&gt;0,(Masts!$C$14/3)*0.9375,0)</f>
        <v>0</v>
      </c>
      <c r="AI182" s="81">
        <f>IF(AC182&gt;0,(Masts!$C$15/3)*0.9375,0)</f>
        <v>0</v>
      </c>
      <c r="AJ182" s="85">
        <f t="shared" si="101"/>
        <v>0</v>
      </c>
      <c r="AK182" s="83">
        <f>IF(AC182&gt;0,(Masts!$C$10/3)*0.9375,0)</f>
        <v>0</v>
      </c>
      <c r="AL182" s="84">
        <f>IF(AC182&gt;0,(Masts!$C$11/3)*0.9375,0)</f>
        <v>0</v>
      </c>
      <c r="AM182" s="85">
        <f t="shared" si="102"/>
        <v>0</v>
      </c>
      <c r="AN182" s="86">
        <f t="shared" si="103"/>
        <v>0</v>
      </c>
      <c r="AO182" s="87">
        <f t="shared" si="98"/>
        <v>0</v>
      </c>
      <c r="AP182" s="88">
        <f t="shared" si="99"/>
        <v>0</v>
      </c>
      <c r="AQ182" s="68"/>
      <c r="AR182" s="68"/>
      <c r="AS182" s="56">
        <f>'Ship Data Metric'!E47*0.03280839895</f>
        <v>0</v>
      </c>
      <c r="AT182" s="68"/>
      <c r="AU182" s="54"/>
      <c r="AV182" s="54"/>
      <c r="AW182" s="54"/>
      <c r="AX182" s="54"/>
      <c r="AY182" s="54"/>
    </row>
    <row r="183" ht="15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75"/>
      <c r="AB183" s="76" t="s">
        <v>27</v>
      </c>
      <c r="AC183" s="56">
        <f>IF('Ship Data Imperial'!E48&gt;0,'Ship Data Imperial'!E48,AS183)</f>
        <v>0</v>
      </c>
      <c r="AD183" s="68"/>
      <c r="AE183" s="68"/>
      <c r="AF183" s="68"/>
      <c r="AG183" s="69">
        <f t="shared" si="100"/>
        <v>0</v>
      </c>
      <c r="AH183" s="80">
        <f>IF(AC183&gt;0,(Masts!$C$14/3)*0.9375,0)</f>
        <v>0</v>
      </c>
      <c r="AI183" s="81">
        <f>IF(AC183&gt;0,(Masts!$C$15/3)*0.9375,0)</f>
        <v>0</v>
      </c>
      <c r="AJ183" s="85">
        <f t="shared" si="101"/>
        <v>0</v>
      </c>
      <c r="AK183" s="83">
        <f>IF(AC183&gt;0,(Masts!$C$10/3)*0.9375,0)</f>
        <v>0</v>
      </c>
      <c r="AL183" s="84">
        <f>IF(AC183&gt;0,(Masts!$C$11/3)*0.9375,0)</f>
        <v>0</v>
      </c>
      <c r="AM183" s="85">
        <f t="shared" si="102"/>
        <v>0</v>
      </c>
      <c r="AN183" s="86">
        <f t="shared" si="103"/>
        <v>0</v>
      </c>
      <c r="AO183" s="87">
        <f t="shared" si="98"/>
        <v>0</v>
      </c>
      <c r="AP183" s="88">
        <f t="shared" si="99"/>
        <v>0</v>
      </c>
      <c r="AQ183" s="68"/>
      <c r="AR183" s="68"/>
      <c r="AS183" s="56">
        <f>'Ship Data Metric'!E48*0.03280839895</f>
        <v>0</v>
      </c>
      <c r="AT183" s="68"/>
      <c r="AU183" s="54"/>
      <c r="AV183" s="54"/>
      <c r="AW183" s="54"/>
      <c r="AX183" s="54"/>
      <c r="AY183" s="54"/>
    </row>
    <row r="184" ht="15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75"/>
      <c r="AB184" s="76" t="s">
        <v>28</v>
      </c>
      <c r="AC184" s="56">
        <f>IF('Ship Data Imperial'!E49&gt;0,'Ship Data Imperial'!E49,AS184)</f>
        <v>0</v>
      </c>
      <c r="AD184" s="68"/>
      <c r="AE184" s="68"/>
      <c r="AF184" s="68"/>
      <c r="AG184" s="69">
        <f t="shared" si="100"/>
        <v>0</v>
      </c>
      <c r="AH184" s="80">
        <f>IF(AC184&gt;0,(Masts!$C$14/3)*0.9375,0)</f>
        <v>0</v>
      </c>
      <c r="AI184" s="81">
        <f>IF(AC184&gt;0,(Masts!$C$15/3)*0.9375,0)</f>
        <v>0</v>
      </c>
      <c r="AJ184" s="85">
        <f t="shared" si="101"/>
        <v>0</v>
      </c>
      <c r="AK184" s="83">
        <f>IF(AC184&gt;0,(Masts!$C$10/3)*0.9375,0)</f>
        <v>0</v>
      </c>
      <c r="AL184" s="84">
        <f>IF(AC184&gt;0,(Masts!$C$11/3)*0.9375,0)</f>
        <v>0</v>
      </c>
      <c r="AM184" s="85">
        <f t="shared" si="102"/>
        <v>0</v>
      </c>
      <c r="AN184" s="86">
        <f t="shared" si="103"/>
        <v>0</v>
      </c>
      <c r="AO184" s="87">
        <f t="shared" si="98"/>
        <v>0</v>
      </c>
      <c r="AP184" s="88">
        <f t="shared" si="99"/>
        <v>0</v>
      </c>
      <c r="AQ184" s="68"/>
      <c r="AR184" s="68"/>
      <c r="AS184" s="56">
        <f>'Ship Data Metric'!E49*0.03280839895</f>
        <v>0</v>
      </c>
      <c r="AT184" s="68"/>
      <c r="AU184" s="54"/>
      <c r="AV184" s="54"/>
      <c r="AW184" s="54"/>
      <c r="AX184" s="54"/>
      <c r="AY184" s="54"/>
    </row>
    <row r="185" ht="15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75"/>
      <c r="AB185" s="76" t="s">
        <v>29</v>
      </c>
      <c r="AC185" s="56">
        <f>IF('Ship Data Imperial'!E50&gt;0,'Ship Data Imperial'!E50,AS185)</f>
        <v>0</v>
      </c>
      <c r="AD185" s="68"/>
      <c r="AE185" s="68"/>
      <c r="AF185" s="68"/>
      <c r="AG185" s="69">
        <f t="shared" si="100"/>
        <v>0</v>
      </c>
      <c r="AH185" s="80">
        <f>IF(AC185&gt;0,(Masts!$C$14/3)*0.9375,0)</f>
        <v>0</v>
      </c>
      <c r="AI185" s="81">
        <f>IF(AC185&gt;0,(Masts!$C$15/3)*0.9375,0)</f>
        <v>0</v>
      </c>
      <c r="AJ185" s="85">
        <f t="shared" si="101"/>
        <v>0</v>
      </c>
      <c r="AK185" s="83">
        <f>IF(AC185&gt;0,(Masts!$C$10/3)*0.9375,0)</f>
        <v>0</v>
      </c>
      <c r="AL185" s="84">
        <f>IF(AC185&gt;0,(Masts!$C$11/3)*0.9375,0)</f>
        <v>0</v>
      </c>
      <c r="AM185" s="85">
        <f t="shared" si="102"/>
        <v>0</v>
      </c>
      <c r="AN185" s="86">
        <f t="shared" si="103"/>
        <v>0</v>
      </c>
      <c r="AO185" s="87">
        <f t="shared" si="98"/>
        <v>0</v>
      </c>
      <c r="AP185" s="88">
        <f t="shared" si="99"/>
        <v>0</v>
      </c>
      <c r="AQ185" s="68"/>
      <c r="AR185" s="68"/>
      <c r="AS185" s="56">
        <f>'Ship Data Metric'!E50*0.03280839895</f>
        <v>0</v>
      </c>
      <c r="AT185" s="68"/>
      <c r="AU185" s="54"/>
      <c r="AV185" s="54"/>
      <c r="AW185" s="54"/>
      <c r="AX185" s="54"/>
      <c r="AY185" s="54"/>
    </row>
    <row r="186" ht="15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75" t="s">
        <v>37</v>
      </c>
      <c r="AB186" s="76" t="s">
        <v>24</v>
      </c>
      <c r="AC186" s="56">
        <f>IF('Ship Data Imperial'!E51&gt;0,'Ship Data Imperial'!E51,AS186)</f>
        <v>0</v>
      </c>
      <c r="AD186" s="68"/>
      <c r="AE186" s="68"/>
      <c r="AF186" s="68"/>
      <c r="AG186" s="69">
        <f t="shared" si="100"/>
        <v>0</v>
      </c>
      <c r="AH186" s="80">
        <f>IF(AC186&gt;0,(Masts!$C$14/3)*0.9375,0)</f>
        <v>0</v>
      </c>
      <c r="AI186" s="81">
        <f>IF(AC186&gt;0,(Masts!$C$15/3)*0.9375,0)</f>
        <v>0</v>
      </c>
      <c r="AJ186" s="85">
        <f t="shared" si="101"/>
        <v>0</v>
      </c>
      <c r="AK186" s="83">
        <f>IF(AC186&gt;0,(Masts!$C$10/3)*0.9375,0)</f>
        <v>0</v>
      </c>
      <c r="AL186" s="84">
        <f>IF(AC186&gt;0,(Masts!$C$11/3)*0.9375,0)</f>
        <v>0</v>
      </c>
      <c r="AM186" s="85">
        <f t="shared" si="102"/>
        <v>0</v>
      </c>
      <c r="AN186" s="86">
        <f t="shared" si="103"/>
        <v>0</v>
      </c>
      <c r="AO186" s="87">
        <f t="shared" si="98"/>
        <v>0</v>
      </c>
      <c r="AP186" s="88">
        <f t="shared" si="99"/>
        <v>0</v>
      </c>
      <c r="AQ186" s="68"/>
      <c r="AR186" s="68"/>
      <c r="AS186" s="56">
        <f>'Ship Data Metric'!E51*0.03280839895</f>
        <v>0</v>
      </c>
      <c r="AT186" s="68"/>
      <c r="AU186" s="54"/>
      <c r="AV186" s="54"/>
      <c r="AW186" s="54"/>
      <c r="AX186" s="54"/>
      <c r="AY186" s="54"/>
    </row>
    <row r="187" ht="15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75"/>
      <c r="AB187" s="76" t="s">
        <v>25</v>
      </c>
      <c r="AC187" s="56">
        <f>IF('Ship Data Imperial'!E52&gt;0,'Ship Data Imperial'!E52,AS187)</f>
        <v>0</v>
      </c>
      <c r="AD187" s="68"/>
      <c r="AE187" s="68"/>
      <c r="AF187" s="68"/>
      <c r="AG187" s="69">
        <f t="shared" si="100"/>
        <v>0</v>
      </c>
      <c r="AH187" s="80">
        <f>IF(AC187&gt;0,(Masts!$C$14/3)*0.9375,0)</f>
        <v>0</v>
      </c>
      <c r="AI187" s="81">
        <f>IF(AC187&gt;0,(Masts!$C$15/3)*0.9375,0)</f>
        <v>0</v>
      </c>
      <c r="AJ187" s="85">
        <f t="shared" si="101"/>
        <v>0</v>
      </c>
      <c r="AK187" s="83">
        <f>IF(AC187&gt;0,(Masts!$C$10/3)*0.9375,0)</f>
        <v>0</v>
      </c>
      <c r="AL187" s="84">
        <f>IF(AC187&gt;0,(Masts!$C$11/3)*0.9375,0)</f>
        <v>0</v>
      </c>
      <c r="AM187" s="85">
        <f t="shared" si="102"/>
        <v>0</v>
      </c>
      <c r="AN187" s="86">
        <f t="shared" si="103"/>
        <v>0</v>
      </c>
      <c r="AO187" s="87">
        <f t="shared" si="98"/>
        <v>0</v>
      </c>
      <c r="AP187" s="88">
        <f t="shared" si="99"/>
        <v>0</v>
      </c>
      <c r="AQ187" s="68"/>
      <c r="AR187" s="68"/>
      <c r="AS187" s="56">
        <f>'Ship Data Metric'!E52*0.03280839895</f>
        <v>0</v>
      </c>
      <c r="AT187" s="68"/>
      <c r="AU187" s="54"/>
      <c r="AV187" s="54"/>
      <c r="AW187" s="54"/>
      <c r="AX187" s="54"/>
      <c r="AY187" s="54"/>
    </row>
    <row r="188" ht="15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75"/>
      <c r="AB188" s="76" t="s">
        <v>26</v>
      </c>
      <c r="AC188" s="56">
        <f>IF('Ship Data Imperial'!E53&gt;0,'Ship Data Imperial'!E53,AS188)</f>
        <v>0</v>
      </c>
      <c r="AD188" s="68"/>
      <c r="AE188" s="68"/>
      <c r="AF188" s="68"/>
      <c r="AG188" s="69">
        <f t="shared" si="100"/>
        <v>0</v>
      </c>
      <c r="AH188" s="80">
        <f>IF(AC188&gt;0,(Masts!$C$14/3)*0.9375,0)</f>
        <v>0</v>
      </c>
      <c r="AI188" s="81">
        <f>IF(AC188&gt;0,(Masts!$C$15/3)*0.9375,0)</f>
        <v>0</v>
      </c>
      <c r="AJ188" s="85">
        <f t="shared" si="101"/>
        <v>0</v>
      </c>
      <c r="AK188" s="83">
        <f>IF(AC188&gt;0,(Masts!$C$10/3)*0.9375,0)</f>
        <v>0</v>
      </c>
      <c r="AL188" s="84">
        <f>IF(AC188&gt;0,(Masts!$C$11/3)*0.9375,0)</f>
        <v>0</v>
      </c>
      <c r="AM188" s="85">
        <f t="shared" si="102"/>
        <v>0</v>
      </c>
      <c r="AN188" s="86">
        <f t="shared" si="103"/>
        <v>0</v>
      </c>
      <c r="AO188" s="87">
        <f t="shared" si="98"/>
        <v>0</v>
      </c>
      <c r="AP188" s="88">
        <f t="shared" si="99"/>
        <v>0</v>
      </c>
      <c r="AQ188" s="68"/>
      <c r="AR188" s="68"/>
      <c r="AS188" s="56">
        <f>'Ship Data Metric'!E53*0.03280839895</f>
        <v>0</v>
      </c>
      <c r="AT188" s="68"/>
      <c r="AU188" s="54"/>
      <c r="AV188" s="54"/>
      <c r="AW188" s="54"/>
      <c r="AX188" s="54"/>
      <c r="AY188" s="54"/>
    </row>
    <row r="189" ht="15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75"/>
      <c r="AB189" s="76" t="s">
        <v>27</v>
      </c>
      <c r="AC189" s="56">
        <f>IF('Ship Data Imperial'!E54&gt;0,'Ship Data Imperial'!E54,AS189)</f>
        <v>0</v>
      </c>
      <c r="AD189" s="68"/>
      <c r="AE189" s="68"/>
      <c r="AF189" s="68"/>
      <c r="AG189" s="69">
        <f t="shared" si="100"/>
        <v>0</v>
      </c>
      <c r="AH189" s="80">
        <f>IF(AC189&gt;0,(Masts!$C$14/3)*0.9375,0)</f>
        <v>0</v>
      </c>
      <c r="AI189" s="81">
        <f>IF(AC189&gt;0,(Masts!$C$15/3)*0.9375,0)</f>
        <v>0</v>
      </c>
      <c r="AJ189" s="85">
        <f t="shared" si="101"/>
        <v>0</v>
      </c>
      <c r="AK189" s="83">
        <f>IF(AC189&gt;0,(Masts!$C$10/3)*0.9375,0)</f>
        <v>0</v>
      </c>
      <c r="AL189" s="84">
        <f>IF(AC189&gt;0,(Masts!$C$11/3)*0.9375,0)</f>
        <v>0</v>
      </c>
      <c r="AM189" s="85">
        <f t="shared" si="102"/>
        <v>0</v>
      </c>
      <c r="AN189" s="86">
        <f t="shared" si="103"/>
        <v>0</v>
      </c>
      <c r="AO189" s="87">
        <f t="shared" si="98"/>
        <v>0</v>
      </c>
      <c r="AP189" s="88">
        <f t="shared" si="99"/>
        <v>0</v>
      </c>
      <c r="AQ189" s="68"/>
      <c r="AR189" s="68"/>
      <c r="AS189" s="56">
        <f>'Ship Data Metric'!E54*0.03280839895</f>
        <v>0</v>
      </c>
      <c r="AT189" s="68"/>
      <c r="AU189" s="54"/>
      <c r="AV189" s="54"/>
      <c r="AW189" s="54"/>
      <c r="AX189" s="54"/>
      <c r="AY189" s="54"/>
    </row>
    <row r="190" ht="15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75"/>
      <c r="AB190" s="76" t="s">
        <v>28</v>
      </c>
      <c r="AC190" s="56">
        <f>IF('Ship Data Imperial'!E55&gt;0,'Ship Data Imperial'!E55,AS190)</f>
        <v>0</v>
      </c>
      <c r="AD190" s="68"/>
      <c r="AE190" s="68"/>
      <c r="AF190" s="68"/>
      <c r="AG190" s="69">
        <f t="shared" si="100"/>
        <v>0</v>
      </c>
      <c r="AH190" s="80">
        <f>IF(AC190&gt;0,(Masts!$C$14/3)*0.9375,0)</f>
        <v>0</v>
      </c>
      <c r="AI190" s="81">
        <f>IF(AC190&gt;0,(Masts!$C$15/3)*0.9375,0)</f>
        <v>0</v>
      </c>
      <c r="AJ190" s="85">
        <f t="shared" si="101"/>
        <v>0</v>
      </c>
      <c r="AK190" s="83">
        <f>IF(AC190&gt;0,(Masts!$C$10/3)*0.9375,0)</f>
        <v>0</v>
      </c>
      <c r="AL190" s="84">
        <f>IF(AC190&gt;0,(Masts!$C$11/3)*0.9375,0)</f>
        <v>0</v>
      </c>
      <c r="AM190" s="85">
        <f t="shared" si="102"/>
        <v>0</v>
      </c>
      <c r="AN190" s="86">
        <f t="shared" si="103"/>
        <v>0</v>
      </c>
      <c r="AO190" s="87">
        <f t="shared" si="98"/>
        <v>0</v>
      </c>
      <c r="AP190" s="88">
        <f t="shared" si="99"/>
        <v>0</v>
      </c>
      <c r="AQ190" s="68"/>
      <c r="AR190" s="68"/>
      <c r="AS190" s="56">
        <f>'Ship Data Metric'!E55*0.03280839895</f>
        <v>0</v>
      </c>
      <c r="AT190" s="68"/>
      <c r="AU190" s="54"/>
      <c r="AV190" s="54"/>
      <c r="AW190" s="54"/>
      <c r="AX190" s="54"/>
      <c r="AY190" s="54"/>
    </row>
    <row r="191" ht="15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75"/>
      <c r="AB191" s="76" t="s">
        <v>29</v>
      </c>
      <c r="AC191" s="56">
        <f>IF('Ship Data Imperial'!E56&gt;0,'Ship Data Imperial'!E56,AS191)</f>
        <v>0</v>
      </c>
      <c r="AD191" s="68"/>
      <c r="AE191" s="68"/>
      <c r="AF191" s="68"/>
      <c r="AG191" s="69">
        <f t="shared" si="100"/>
        <v>0</v>
      </c>
      <c r="AH191" s="80">
        <f>IF(AC191&gt;0,(Masts!$C$14/3)*0.9375,0)</f>
        <v>0</v>
      </c>
      <c r="AI191" s="81">
        <f>IF(AC191&gt;0,(Masts!$C$15/3)*0.9375,0)</f>
        <v>0</v>
      </c>
      <c r="AJ191" s="85">
        <f t="shared" si="101"/>
        <v>0</v>
      </c>
      <c r="AK191" s="83">
        <f>IF(AC191&gt;0,(Masts!$C$10/3)*0.9375,0)</f>
        <v>0</v>
      </c>
      <c r="AL191" s="84">
        <f>IF(AC191&gt;0,(Masts!$C$11/3)*0.9375,0)</f>
        <v>0</v>
      </c>
      <c r="AM191" s="85">
        <f t="shared" si="102"/>
        <v>0</v>
      </c>
      <c r="AN191" s="86">
        <f t="shared" si="103"/>
        <v>0</v>
      </c>
      <c r="AO191" s="87">
        <f t="shared" si="98"/>
        <v>0</v>
      </c>
      <c r="AP191" s="88">
        <f t="shared" si="99"/>
        <v>0</v>
      </c>
      <c r="AQ191" s="68"/>
      <c r="AR191" s="68"/>
      <c r="AS191" s="56">
        <f>'Ship Data Metric'!E56*0.03280839895</f>
        <v>0</v>
      </c>
      <c r="AT191" s="68"/>
      <c r="AU191" s="54"/>
      <c r="AV191" s="54"/>
      <c r="AW191" s="54"/>
      <c r="AX191" s="54"/>
      <c r="AY191" s="54"/>
    </row>
    <row r="192" ht="15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75" t="s">
        <v>38</v>
      </c>
      <c r="AB192" s="76" t="s">
        <v>24</v>
      </c>
      <c r="AC192" s="56">
        <f>IF('Ship Data Imperial'!E57&gt;0,'Ship Data Imperial'!E57,AS192)</f>
        <v>0</v>
      </c>
      <c r="AD192" s="68"/>
      <c r="AE192" s="68"/>
      <c r="AF192" s="68"/>
      <c r="AG192" s="69">
        <f t="shared" si="100"/>
        <v>0</v>
      </c>
      <c r="AH192" s="80">
        <f>IF(AC192&gt;0,(Masts!$C$14/3)*0.9375,0)</f>
        <v>0</v>
      </c>
      <c r="AI192" s="81">
        <f>IF(AC192&gt;0,(Masts!$C$15/3)*0.9375,0)</f>
        <v>0</v>
      </c>
      <c r="AJ192" s="85">
        <f t="shared" si="101"/>
        <v>0</v>
      </c>
      <c r="AK192" s="83">
        <f>IF(AC192&gt;0,(Masts!$C$10/3)*0.9375,0)</f>
        <v>0</v>
      </c>
      <c r="AL192" s="84">
        <f>IF(AC192&gt;0,(Masts!$C$11/3)*0.9375,0)</f>
        <v>0</v>
      </c>
      <c r="AM192" s="85">
        <f t="shared" ref="AM192:AM197" si="104">IF(AC192&gt;0,($AK$136/3)*0.666,0)</f>
        <v>0</v>
      </c>
      <c r="AN192" s="86">
        <f t="shared" ref="AN192:AN197" si="105">IF(AC192&gt;0,($AL$136/3)*0.666,0)</f>
        <v>0</v>
      </c>
      <c r="AO192" s="87">
        <f t="shared" ref="AO192:AO197" si="106">IF(AC192&gt;0,AG192*0.9,0)</f>
        <v>0</v>
      </c>
      <c r="AP192" s="88">
        <f t="shared" si="99"/>
        <v>0</v>
      </c>
      <c r="AQ192" s="68"/>
      <c r="AR192" s="68"/>
      <c r="AS192" s="56">
        <f>'Ship Data Metric'!E57*0.03280839895</f>
        <v>0</v>
      </c>
      <c r="AT192" s="68"/>
      <c r="AU192" s="54"/>
      <c r="AV192" s="54"/>
      <c r="AW192" s="54"/>
      <c r="AX192" s="54"/>
      <c r="AY192" s="54"/>
    </row>
    <row r="193" ht="15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75"/>
      <c r="AB193" s="76" t="s">
        <v>25</v>
      </c>
      <c r="AC193" s="56">
        <f>IF('Ship Data Imperial'!E58&gt;0,'Ship Data Imperial'!E58,AS193)</f>
        <v>0</v>
      </c>
      <c r="AD193" s="68"/>
      <c r="AE193" s="68"/>
      <c r="AF193" s="68"/>
      <c r="AG193" s="69">
        <f t="shared" si="100"/>
        <v>0</v>
      </c>
      <c r="AH193" s="80">
        <f>IF(AC193&gt;0,(Masts!$C$14/3)*0.9375,0)</f>
        <v>0</v>
      </c>
      <c r="AI193" s="81">
        <f>IF(AC193&gt;0,(Masts!$C$15/3)*0.9375,0)</f>
        <v>0</v>
      </c>
      <c r="AJ193" s="85">
        <f t="shared" si="101"/>
        <v>0</v>
      </c>
      <c r="AK193" s="83">
        <f>IF(AC193&gt;0,(Masts!$C$10/3)*0.9375,0)</f>
        <v>0</v>
      </c>
      <c r="AL193" s="84">
        <f>IF(AC193&gt;0,(Masts!$C$11/3)*0.9375,0)</f>
        <v>0</v>
      </c>
      <c r="AM193" s="85">
        <f t="shared" si="104"/>
        <v>0</v>
      </c>
      <c r="AN193" s="86">
        <f t="shared" si="105"/>
        <v>0</v>
      </c>
      <c r="AO193" s="87">
        <f t="shared" si="106"/>
        <v>0</v>
      </c>
      <c r="AP193" s="88">
        <f t="shared" si="99"/>
        <v>0</v>
      </c>
      <c r="AQ193" s="68"/>
      <c r="AR193" s="68"/>
      <c r="AS193" s="56">
        <f>'Ship Data Metric'!E58*0.03280839895</f>
        <v>0</v>
      </c>
      <c r="AT193" s="68"/>
      <c r="AU193" s="54"/>
      <c r="AV193" s="54"/>
      <c r="AW193" s="54"/>
      <c r="AX193" s="54"/>
      <c r="AY193" s="54"/>
    </row>
    <row r="194" ht="15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75"/>
      <c r="AB194" s="76" t="s">
        <v>26</v>
      </c>
      <c r="AC194" s="56">
        <f>IF('Ship Data Imperial'!E59&gt;0,'Ship Data Imperial'!E59,AS194)</f>
        <v>0</v>
      </c>
      <c r="AD194" s="68"/>
      <c r="AE194" s="68"/>
      <c r="AF194" s="68"/>
      <c r="AG194" s="69">
        <f t="shared" si="100"/>
        <v>0</v>
      </c>
      <c r="AH194" s="80">
        <f>IF(AC194&gt;0,(Masts!$C$14/3)*0.9375,0)</f>
        <v>0</v>
      </c>
      <c r="AI194" s="81">
        <f>IF(AC194&gt;0,(Masts!$C$15/3)*0.9375,0)</f>
        <v>0</v>
      </c>
      <c r="AJ194" s="85">
        <f t="shared" si="101"/>
        <v>0</v>
      </c>
      <c r="AK194" s="83">
        <f>IF(AC194&gt;0,(Masts!$C$10/3)*0.9375,0)</f>
        <v>0</v>
      </c>
      <c r="AL194" s="84">
        <f>IF(AC194&gt;0,(Masts!$C$11/3)*0.9375,0)</f>
        <v>0</v>
      </c>
      <c r="AM194" s="85">
        <f t="shared" si="104"/>
        <v>0</v>
      </c>
      <c r="AN194" s="86">
        <f t="shared" si="105"/>
        <v>0</v>
      </c>
      <c r="AO194" s="87">
        <f t="shared" si="106"/>
        <v>0</v>
      </c>
      <c r="AP194" s="88">
        <f t="shared" si="99"/>
        <v>0</v>
      </c>
      <c r="AQ194" s="68"/>
      <c r="AR194" s="68"/>
      <c r="AS194" s="56">
        <f>'Ship Data Metric'!E59*0.03280839895</f>
        <v>0</v>
      </c>
      <c r="AT194" s="68"/>
      <c r="AU194" s="54"/>
      <c r="AV194" s="54"/>
      <c r="AW194" s="54"/>
      <c r="AX194" s="54"/>
      <c r="AY194" s="54"/>
    </row>
    <row r="195" ht="15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75"/>
      <c r="AB195" s="76" t="s">
        <v>27</v>
      </c>
      <c r="AC195" s="56">
        <f>IF('Ship Data Imperial'!E60&gt;0,'Ship Data Imperial'!E60,AS195)</f>
        <v>0</v>
      </c>
      <c r="AD195" s="68"/>
      <c r="AE195" s="68"/>
      <c r="AF195" s="68"/>
      <c r="AG195" s="69">
        <f t="shared" si="100"/>
        <v>0</v>
      </c>
      <c r="AH195" s="80">
        <f>IF(AC195&gt;0,(Masts!$C$14/3)*0.9375,0)</f>
        <v>0</v>
      </c>
      <c r="AI195" s="81">
        <f>IF(AC195&gt;0,(Masts!$C$15/3)*0.9375,0)</f>
        <v>0</v>
      </c>
      <c r="AJ195" s="85">
        <f t="shared" si="101"/>
        <v>0</v>
      </c>
      <c r="AK195" s="83">
        <f>IF(AC195&gt;0,(Masts!$C$10/3)*0.9375,0)</f>
        <v>0</v>
      </c>
      <c r="AL195" s="84">
        <f>IF(AC195&gt;0,(Masts!$C$11/3)*0.9375,0)</f>
        <v>0</v>
      </c>
      <c r="AM195" s="85">
        <f t="shared" si="104"/>
        <v>0</v>
      </c>
      <c r="AN195" s="86">
        <f t="shared" si="105"/>
        <v>0</v>
      </c>
      <c r="AO195" s="87">
        <f t="shared" si="106"/>
        <v>0</v>
      </c>
      <c r="AP195" s="88">
        <f t="shared" si="99"/>
        <v>0</v>
      </c>
      <c r="AQ195" s="68"/>
      <c r="AR195" s="68"/>
      <c r="AS195" s="56">
        <f>'Ship Data Metric'!E60*0.03280839895</f>
        <v>0</v>
      </c>
      <c r="AT195" s="68"/>
      <c r="AU195" s="54"/>
      <c r="AV195" s="54"/>
      <c r="AW195" s="54"/>
      <c r="AX195" s="54"/>
      <c r="AY195" s="54"/>
    </row>
    <row r="196" ht="15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75"/>
      <c r="AB196" s="76" t="s">
        <v>28</v>
      </c>
      <c r="AC196" s="56">
        <f>IF('Ship Data Imperial'!E61&gt;0,'Ship Data Imperial'!E61,AS196)</f>
        <v>0</v>
      </c>
      <c r="AD196" s="68"/>
      <c r="AE196" s="68"/>
      <c r="AF196" s="68"/>
      <c r="AG196" s="69">
        <f t="shared" si="100"/>
        <v>0</v>
      </c>
      <c r="AH196" s="80">
        <f>IF(AC196&gt;0,(Masts!$C$14/3)*0.9375,0)</f>
        <v>0</v>
      </c>
      <c r="AI196" s="81">
        <f>IF(AC196&gt;0,(Masts!$C$15/3)*0.9375,0)</f>
        <v>0</v>
      </c>
      <c r="AJ196" s="85">
        <f t="shared" si="101"/>
        <v>0</v>
      </c>
      <c r="AK196" s="83">
        <f>IF(AC196&gt;0,(Masts!$C$10/3)*0.9375,0)</f>
        <v>0</v>
      </c>
      <c r="AL196" s="84">
        <f>IF(AC196&gt;0,(Masts!$C$11/3)*0.9375,0)</f>
        <v>0</v>
      </c>
      <c r="AM196" s="85">
        <f t="shared" si="104"/>
        <v>0</v>
      </c>
      <c r="AN196" s="86">
        <f t="shared" si="105"/>
        <v>0</v>
      </c>
      <c r="AO196" s="87">
        <f t="shared" si="106"/>
        <v>0</v>
      </c>
      <c r="AP196" s="88">
        <f t="shared" si="99"/>
        <v>0</v>
      </c>
      <c r="AQ196" s="68"/>
      <c r="AR196" s="68"/>
      <c r="AS196" s="56">
        <f>'Ship Data Metric'!E61*0.03280839895</f>
        <v>0</v>
      </c>
      <c r="AT196" s="68"/>
      <c r="AU196" s="54"/>
      <c r="AV196" s="54"/>
      <c r="AW196" s="54"/>
      <c r="AX196" s="54"/>
      <c r="AY196" s="54"/>
    </row>
    <row r="197" ht="15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75"/>
      <c r="AB197" s="76" t="s">
        <v>29</v>
      </c>
      <c r="AC197" s="56">
        <f>IF('Ship Data Imperial'!E62&gt;0,'Ship Data Imperial'!E62,AS197)</f>
        <v>0</v>
      </c>
      <c r="AD197" s="68"/>
      <c r="AE197" s="68"/>
      <c r="AF197" s="68"/>
      <c r="AG197" s="69">
        <f t="shared" si="100"/>
        <v>0</v>
      </c>
      <c r="AH197" s="80">
        <f>IF(AC197&gt;0,(Masts!$C$14/3)*0.9375,0)</f>
        <v>0</v>
      </c>
      <c r="AI197" s="81">
        <f>IF(AC197&gt;0,(Masts!$C$15/3)*0.9375,0)</f>
        <v>0</v>
      </c>
      <c r="AJ197" s="85">
        <f t="shared" si="101"/>
        <v>0</v>
      </c>
      <c r="AK197" s="83">
        <f>IF(AC197&gt;0,(Masts!$C$10/3)*0.9375,0)</f>
        <v>0</v>
      </c>
      <c r="AL197" s="84">
        <f>IF(AC197&gt;0,(Masts!$C$11/3)*0.9375,0)</f>
        <v>0</v>
      </c>
      <c r="AM197" s="85">
        <f t="shared" si="104"/>
        <v>0</v>
      </c>
      <c r="AN197" s="86">
        <f t="shared" si="105"/>
        <v>0</v>
      </c>
      <c r="AO197" s="87">
        <f t="shared" si="106"/>
        <v>0</v>
      </c>
      <c r="AP197" s="88">
        <f t="shared" si="99"/>
        <v>0</v>
      </c>
      <c r="AQ197" s="68"/>
      <c r="AR197" s="68"/>
      <c r="AS197" s="56">
        <f>'Ship Data Metric'!E62*0.03280839895</f>
        <v>0</v>
      </c>
      <c r="AT197" s="68"/>
      <c r="AU197" s="54"/>
      <c r="AV197" s="54"/>
      <c r="AW197" s="54"/>
      <c r="AX197" s="54"/>
      <c r="AY197" s="54"/>
    </row>
    <row r="198" ht="15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75" t="s">
        <v>39</v>
      </c>
      <c r="AB198" s="158" t="s">
        <v>24</v>
      </c>
      <c r="AC198" s="56">
        <f>IF('Ship Data Imperial'!E63&gt;0,'Ship Data Imperial'!E63,AS198)</f>
        <v>0</v>
      </c>
      <c r="AD198" s="68"/>
      <c r="AE198" s="68"/>
      <c r="AF198" s="68"/>
      <c r="AG198" s="69">
        <f t="shared" si="100"/>
        <v>0</v>
      </c>
      <c r="AH198" s="80">
        <f>IF(AC198&gt;0,(Masts!$C$14/3)*0.9,0)</f>
        <v>0</v>
      </c>
      <c r="AI198" s="81">
        <f>IF(AC198&gt;0,Masts!$C$15/3,0)</f>
        <v>0</v>
      </c>
      <c r="AJ198" s="85">
        <f t="shared" si="101"/>
        <v>0</v>
      </c>
      <c r="AK198" s="83">
        <f>IF(AC198&gt;0,(Masts!$C$10/3)*0.9,0)</f>
        <v>0</v>
      </c>
      <c r="AL198" s="84">
        <f>IF(AC198&gt;0,Masts!$C$11/3,0)</f>
        <v>0</v>
      </c>
      <c r="AM198" s="85">
        <f t="shared" ref="AM198:AM202" si="107">IF(AC198&gt;0,($AK$136/3)*0.6819,0)</f>
        <v>0</v>
      </c>
      <c r="AN198" s="86">
        <f t="shared" ref="AN198:AN221" si="108">IF(AC198&gt;0,($AL$136/3)*0.8333,0)</f>
        <v>0</v>
      </c>
      <c r="AO198" s="87">
        <f t="shared" ref="AO198:AO202" si="109">IF(AC198&gt;0,($AN$136/3)*1.555,0)</f>
        <v>0</v>
      </c>
      <c r="AP198" s="88">
        <f t="shared" ref="AP198:AP221" si="110">IF(AC198&gt;0,$AP$86/3,0)</f>
        <v>0</v>
      </c>
      <c r="AQ198" s="68"/>
      <c r="AR198" s="68"/>
      <c r="AS198" s="56">
        <f>'Ship Data Metric'!E63*0.03280839895</f>
        <v>0</v>
      </c>
      <c r="AT198" s="68"/>
      <c r="AU198" s="54"/>
      <c r="AV198" s="54"/>
      <c r="AW198" s="54"/>
      <c r="AX198" s="54"/>
      <c r="AY198" s="54"/>
    </row>
    <row r="199" ht="15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75"/>
      <c r="AB199" s="158" t="s">
        <v>25</v>
      </c>
      <c r="AC199" s="56">
        <f>IF('Ship Data Imperial'!E64&gt;0,'Ship Data Imperial'!E64,AS199)</f>
        <v>0</v>
      </c>
      <c r="AD199" s="68"/>
      <c r="AE199" s="68"/>
      <c r="AF199" s="68"/>
      <c r="AG199" s="69">
        <f t="shared" si="100"/>
        <v>0</v>
      </c>
      <c r="AH199" s="80">
        <f>IF(AC199&gt;0,(Masts!$C$14/3)*0.9,0)</f>
        <v>0</v>
      </c>
      <c r="AI199" s="81">
        <f>IF(AC199&gt;0,Masts!$C$15/3,0)</f>
        <v>0</v>
      </c>
      <c r="AJ199" s="85">
        <f t="shared" si="101"/>
        <v>0</v>
      </c>
      <c r="AK199" s="83">
        <f>IF(AC199&gt;0,(Masts!$C$10/3)*0.9,0)</f>
        <v>0</v>
      </c>
      <c r="AL199" s="84">
        <f>IF(AC199&gt;0,Masts!$C$11/3,0)</f>
        <v>0</v>
      </c>
      <c r="AM199" s="85">
        <f t="shared" si="107"/>
        <v>0</v>
      </c>
      <c r="AN199" s="86">
        <f t="shared" si="108"/>
        <v>0</v>
      </c>
      <c r="AO199" s="87">
        <f t="shared" si="109"/>
        <v>0</v>
      </c>
      <c r="AP199" s="88">
        <f t="shared" si="110"/>
        <v>0</v>
      </c>
      <c r="AQ199" s="68"/>
      <c r="AR199" s="68"/>
      <c r="AS199" s="56">
        <f>'Ship Data Metric'!E64*0.03280839895</f>
        <v>0</v>
      </c>
      <c r="AT199" s="68"/>
      <c r="AU199" s="54"/>
      <c r="AV199" s="54"/>
      <c r="AW199" s="54"/>
      <c r="AX199" s="54"/>
      <c r="AY199" s="54"/>
    </row>
    <row r="200" ht="15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75"/>
      <c r="AB200" s="158" t="s">
        <v>40</v>
      </c>
      <c r="AC200" s="56">
        <f>IF('Ship Data Imperial'!E65&gt;0,'Ship Data Imperial'!E65,AS200)</f>
        <v>0</v>
      </c>
      <c r="AD200" s="68"/>
      <c r="AE200" s="68"/>
      <c r="AF200" s="68"/>
      <c r="AG200" s="69">
        <f t="shared" si="100"/>
        <v>0</v>
      </c>
      <c r="AH200" s="80">
        <f>IF(AC200&gt;0,(Masts!$C$14/3)*0.9,0)</f>
        <v>0</v>
      </c>
      <c r="AI200" s="81">
        <f>IF(AC200&gt;0,Masts!$C$15/3,0)</f>
        <v>0</v>
      </c>
      <c r="AJ200" s="85">
        <f t="shared" si="101"/>
        <v>0</v>
      </c>
      <c r="AK200" s="83">
        <f>IF(AC200&gt;0,(Masts!$C$10/3)*0.9,0)</f>
        <v>0</v>
      </c>
      <c r="AL200" s="84">
        <f>IF(AC200&gt;0,Masts!$C$11/3,0)</f>
        <v>0</v>
      </c>
      <c r="AM200" s="85">
        <f t="shared" si="107"/>
        <v>0</v>
      </c>
      <c r="AN200" s="86">
        <f t="shared" si="108"/>
        <v>0</v>
      </c>
      <c r="AO200" s="87">
        <f t="shared" si="109"/>
        <v>0</v>
      </c>
      <c r="AP200" s="88">
        <f t="shared" si="110"/>
        <v>0</v>
      </c>
      <c r="AQ200" s="68"/>
      <c r="AR200" s="68"/>
      <c r="AS200" s="56">
        <f>'Ship Data Metric'!E65*0.03280839895</f>
        <v>0</v>
      </c>
      <c r="AT200" s="68"/>
      <c r="AU200" s="54"/>
      <c r="AV200" s="54"/>
      <c r="AW200" s="54"/>
      <c r="AX200" s="54"/>
      <c r="AY200" s="54"/>
    </row>
    <row r="201" ht="15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75"/>
      <c r="AB201" s="158" t="s">
        <v>41</v>
      </c>
      <c r="AC201" s="56">
        <f>IF('Ship Data Imperial'!E66&gt;0,'Ship Data Imperial'!E66,AS201)</f>
        <v>0</v>
      </c>
      <c r="AD201" s="68"/>
      <c r="AE201" s="68"/>
      <c r="AF201" s="68"/>
      <c r="AG201" s="69">
        <f t="shared" si="100"/>
        <v>0</v>
      </c>
      <c r="AH201" s="80">
        <f>IF(AC201&gt;0,(Masts!$C$14/3)*0.9,0)</f>
        <v>0</v>
      </c>
      <c r="AI201" s="81">
        <f>IF(AC201&gt;0,Masts!$C$15/3,0)</f>
        <v>0</v>
      </c>
      <c r="AJ201" s="85">
        <f t="shared" si="101"/>
        <v>0</v>
      </c>
      <c r="AK201" s="83">
        <f>IF(AC201&gt;0,(Masts!$C$10/3)*0.9,0)</f>
        <v>0</v>
      </c>
      <c r="AL201" s="84">
        <f>IF(AC201&gt;0,Masts!$C$11/3,0)</f>
        <v>0</v>
      </c>
      <c r="AM201" s="85">
        <f t="shared" si="107"/>
        <v>0</v>
      </c>
      <c r="AN201" s="86">
        <f t="shared" si="108"/>
        <v>0</v>
      </c>
      <c r="AO201" s="87">
        <f t="shared" si="109"/>
        <v>0</v>
      </c>
      <c r="AP201" s="88">
        <f t="shared" si="110"/>
        <v>0</v>
      </c>
      <c r="AQ201" s="68"/>
      <c r="AR201" s="68"/>
      <c r="AS201" s="56">
        <f>'Ship Data Metric'!E66*0.03280839895</f>
        <v>0</v>
      </c>
      <c r="AT201" s="68"/>
      <c r="AU201" s="54"/>
      <c r="AV201" s="54"/>
      <c r="AW201" s="54"/>
      <c r="AX201" s="54"/>
      <c r="AY201" s="54"/>
    </row>
    <row r="202" ht="15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75"/>
      <c r="AB202" s="158" t="s">
        <v>42</v>
      </c>
      <c r="AC202" s="56">
        <f>IF('Ship Data Imperial'!E67&gt;0,'Ship Data Imperial'!E67,AS202)</f>
        <v>0</v>
      </c>
      <c r="AD202" s="68"/>
      <c r="AE202" s="68"/>
      <c r="AF202" s="68"/>
      <c r="AG202" s="69">
        <f t="shared" si="100"/>
        <v>0</v>
      </c>
      <c r="AH202" s="80">
        <f>IF(AC202&gt;0,(Masts!$C$14/3)*0.9,0)</f>
        <v>0</v>
      </c>
      <c r="AI202" s="81">
        <f>IF(AC202&gt;0,Masts!$C$15/3,0)</f>
        <v>0</v>
      </c>
      <c r="AJ202" s="85">
        <f t="shared" si="101"/>
        <v>0</v>
      </c>
      <c r="AK202" s="83">
        <f>IF(AC202&gt;0,(Masts!$C$10/3)*0.9,0)</f>
        <v>0</v>
      </c>
      <c r="AL202" s="84">
        <f>IF(AC202&gt;0,Masts!$C$11/3,0)</f>
        <v>0</v>
      </c>
      <c r="AM202" s="85">
        <f t="shared" si="107"/>
        <v>0</v>
      </c>
      <c r="AN202" s="86">
        <f t="shared" si="108"/>
        <v>0</v>
      </c>
      <c r="AO202" s="87">
        <f t="shared" si="109"/>
        <v>0</v>
      </c>
      <c r="AP202" s="88">
        <f t="shared" si="110"/>
        <v>0</v>
      </c>
      <c r="AQ202" s="68"/>
      <c r="AR202" s="68"/>
      <c r="AS202" s="56">
        <f>'Ship Data Metric'!E67*0.03280839895</f>
        <v>0</v>
      </c>
      <c r="AT202" s="68"/>
      <c r="AU202" s="54"/>
      <c r="AV202" s="54"/>
      <c r="AW202" s="54"/>
      <c r="AX202" s="54"/>
      <c r="AY202" s="54"/>
    </row>
    <row r="203" ht="15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75"/>
      <c r="AB203" s="158" t="s">
        <v>43</v>
      </c>
      <c r="AC203" s="56">
        <f>IF('Ship Data Imperial'!E68&gt;0,'Ship Data Imperial'!E68,AS203)</f>
        <v>0</v>
      </c>
      <c r="AD203" s="68"/>
      <c r="AE203" s="68"/>
      <c r="AF203" s="68"/>
      <c r="AG203" s="69">
        <f t="shared" si="100"/>
        <v>0</v>
      </c>
      <c r="AH203" s="80">
        <f>IF(AC203&gt;0,(Masts!$C$14/3)*0.9,0)</f>
        <v>0</v>
      </c>
      <c r="AI203" s="81">
        <f>IF(AC203&gt;0,Masts!$C$15/3,0)</f>
        <v>0</v>
      </c>
      <c r="AJ203" s="85">
        <f t="shared" si="101"/>
        <v>0</v>
      </c>
      <c r="AK203" s="83">
        <f>IF(AC203&gt;0,(Masts!$C$10/3)*0.9,0)</f>
        <v>0</v>
      </c>
      <c r="AL203" s="84">
        <f>IF(AC203&gt;0,Masts!$C$11/3,0)</f>
        <v>0</v>
      </c>
      <c r="AM203" s="85">
        <f t="shared" ref="AM203:AM205" si="111">IF(AC203&gt;0,($AK$136/3)*0.666,0)</f>
        <v>0</v>
      </c>
      <c r="AN203" s="86">
        <f t="shared" si="108"/>
        <v>0</v>
      </c>
      <c r="AO203" s="87">
        <f>IF(AC203&gt;0,($AN$136/3)*1.4285,0)</f>
        <v>0</v>
      </c>
      <c r="AP203" s="88">
        <f t="shared" si="110"/>
        <v>0</v>
      </c>
      <c r="AQ203" s="68"/>
      <c r="AR203" s="68"/>
      <c r="AS203" s="56">
        <f>'Ship Data Metric'!E68*0.03280839895</f>
        <v>0</v>
      </c>
      <c r="AT203" s="68"/>
      <c r="AU203" s="54"/>
      <c r="AV203" s="54"/>
      <c r="AW203" s="54"/>
      <c r="AX203" s="54"/>
      <c r="AY203" s="54"/>
    </row>
    <row r="204" ht="15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75"/>
      <c r="AB204" s="158" t="s">
        <v>44</v>
      </c>
      <c r="AC204" s="56">
        <f>IF('Ship Data Imperial'!E69&gt;0,'Ship Data Imperial'!E69,AS204)</f>
        <v>0</v>
      </c>
      <c r="AD204" s="68"/>
      <c r="AE204" s="68"/>
      <c r="AF204" s="68"/>
      <c r="AG204" s="69">
        <f t="shared" si="100"/>
        <v>0</v>
      </c>
      <c r="AH204" s="80">
        <f>IF(AC204&gt;0,(Masts!$C$14/3)*0.9,0)</f>
        <v>0</v>
      </c>
      <c r="AI204" s="81">
        <f>IF(AC204&gt;0,Masts!$C$15/3,0)</f>
        <v>0</v>
      </c>
      <c r="AJ204" s="85">
        <f t="shared" si="101"/>
        <v>0</v>
      </c>
      <c r="AK204" s="83">
        <f>IF(AC204&gt;0,(Masts!$C$10/3)*0.9,0)</f>
        <v>0</v>
      </c>
      <c r="AL204" s="84">
        <f>IF(AC204&gt;0,Masts!$C$11/3,0)</f>
        <v>0</v>
      </c>
      <c r="AM204" s="85">
        <f t="shared" si="111"/>
        <v>0</v>
      </c>
      <c r="AN204" s="86">
        <f t="shared" si="108"/>
        <v>0</v>
      </c>
      <c r="AO204" s="87">
        <f t="shared" ref="AO204:AO206" si="112">IF(AC204&gt;0,($AN$136/3)*1.333,0)</f>
        <v>0</v>
      </c>
      <c r="AP204" s="88">
        <f t="shared" si="110"/>
        <v>0</v>
      </c>
      <c r="AQ204" s="68"/>
      <c r="AR204" s="68"/>
      <c r="AS204" s="56">
        <f>'Ship Data Metric'!E69*0.03280839895</f>
        <v>0</v>
      </c>
      <c r="AT204" s="68"/>
      <c r="AU204" s="54"/>
      <c r="AV204" s="54"/>
      <c r="AW204" s="54"/>
      <c r="AX204" s="54"/>
      <c r="AY204" s="54"/>
    </row>
    <row r="205" ht="15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75"/>
      <c r="AB205" s="158" t="s">
        <v>45</v>
      </c>
      <c r="AC205" s="56">
        <f>IF('Ship Data Imperial'!E70&gt;0,'Ship Data Imperial'!E70,AS205)</f>
        <v>0</v>
      </c>
      <c r="AD205" s="68"/>
      <c r="AE205" s="68"/>
      <c r="AF205" s="68"/>
      <c r="AG205" s="69">
        <f t="shared" si="100"/>
        <v>0</v>
      </c>
      <c r="AH205" s="80">
        <f>IF(AC205&gt;0,(Masts!$C$14/3)*0.9,0)</f>
        <v>0</v>
      </c>
      <c r="AI205" s="81">
        <f>IF(AC205&gt;0,Masts!$C$15/3,0)</f>
        <v>0</v>
      </c>
      <c r="AJ205" s="85">
        <f t="shared" si="101"/>
        <v>0</v>
      </c>
      <c r="AK205" s="83">
        <f>IF(AC205&gt;0,(Masts!$C$10/3)*0.9,0)</f>
        <v>0</v>
      </c>
      <c r="AL205" s="84">
        <f>IF(AC205&gt;0,Masts!$C$11/3,0)</f>
        <v>0</v>
      </c>
      <c r="AM205" s="85">
        <f t="shared" si="111"/>
        <v>0</v>
      </c>
      <c r="AN205" s="86">
        <f t="shared" si="108"/>
        <v>0</v>
      </c>
      <c r="AO205" s="87">
        <f t="shared" si="112"/>
        <v>0</v>
      </c>
      <c r="AP205" s="88">
        <f t="shared" si="110"/>
        <v>0</v>
      </c>
      <c r="AQ205" s="68"/>
      <c r="AR205" s="68"/>
      <c r="AS205" s="56">
        <f>'Ship Data Metric'!E70*0.03280839895</f>
        <v>0</v>
      </c>
      <c r="AT205" s="68"/>
      <c r="AU205" s="54"/>
      <c r="AV205" s="54"/>
      <c r="AW205" s="54"/>
      <c r="AX205" s="54"/>
      <c r="AY205" s="54"/>
    </row>
    <row r="206" ht="15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75"/>
      <c r="AB206" s="158" t="s">
        <v>46</v>
      </c>
      <c r="AC206" s="56">
        <f>IF('Ship Data Imperial'!E71&gt;0,'Ship Data Imperial'!E71,AS206)</f>
        <v>0</v>
      </c>
      <c r="AD206" s="68"/>
      <c r="AE206" s="68"/>
      <c r="AF206" s="68"/>
      <c r="AG206" s="69">
        <f t="shared" si="100"/>
        <v>0</v>
      </c>
      <c r="AH206" s="80">
        <f>IF(AC206&gt;0,(Masts!$C$14/3)*0.9,0)</f>
        <v>0</v>
      </c>
      <c r="AI206" s="81">
        <f>IF(AC206&gt;0,Masts!$C$15/3,0)</f>
        <v>0</v>
      </c>
      <c r="AJ206" s="85">
        <f t="shared" si="101"/>
        <v>0</v>
      </c>
      <c r="AK206" s="83">
        <f>IF(AC206&gt;0,(Masts!$C$10/3)*0.9,0)</f>
        <v>0</v>
      </c>
      <c r="AL206" s="84">
        <f>IF(AC206&gt;0,Masts!$C$11/3,0)</f>
        <v>0</v>
      </c>
      <c r="AM206" s="85">
        <f>IF(AC206&gt;0,($AK$136/3)*0.6153,0)</f>
        <v>0</v>
      </c>
      <c r="AN206" s="86">
        <f t="shared" si="108"/>
        <v>0</v>
      </c>
      <c r="AO206" s="87">
        <f t="shared" si="112"/>
        <v>0</v>
      </c>
      <c r="AP206" s="88">
        <f t="shared" si="110"/>
        <v>0</v>
      </c>
      <c r="AQ206" s="68"/>
      <c r="AR206" s="68"/>
      <c r="AS206" s="56">
        <f>'Ship Data Metric'!E71*0.03280839895</f>
        <v>0</v>
      </c>
      <c r="AT206" s="68"/>
      <c r="AU206" s="54"/>
      <c r="AV206" s="54"/>
      <c r="AW206" s="54"/>
      <c r="AX206" s="54"/>
      <c r="AY206" s="54"/>
    </row>
    <row r="207" ht="15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75" t="s">
        <v>47</v>
      </c>
      <c r="AB207" s="158" t="s">
        <v>24</v>
      </c>
      <c r="AC207" s="56">
        <f>IF('Ship Data Imperial'!E72&gt;0,'Ship Data Imperial'!E72,AS207)</f>
        <v>0</v>
      </c>
      <c r="AD207" s="68"/>
      <c r="AE207" s="68"/>
      <c r="AF207" s="68"/>
      <c r="AG207" s="69">
        <f t="shared" si="100"/>
        <v>0</v>
      </c>
      <c r="AH207" s="80">
        <f>IF(AC207&gt;0,(Masts!$C$14/3)*0.9,0)</f>
        <v>0</v>
      </c>
      <c r="AI207" s="81">
        <f>IF(AC207&gt;0,Masts!$C$15/3,0)</f>
        <v>0</v>
      </c>
      <c r="AJ207" s="85">
        <f t="shared" si="101"/>
        <v>0</v>
      </c>
      <c r="AK207" s="83">
        <f>IF(AC207&gt;0,(Masts!$C$10/3)*0.9,0)</f>
        <v>0</v>
      </c>
      <c r="AL207" s="84">
        <f>IF(AC207&gt;0,Masts!$C$11/3,0)</f>
        <v>0</v>
      </c>
      <c r="AM207" s="85">
        <f t="shared" ref="AM207:AM211" si="113">IF(AC207&gt;0,($AK$136/3)*0.6819,0)</f>
        <v>0</v>
      </c>
      <c r="AN207" s="86">
        <f t="shared" si="108"/>
        <v>0</v>
      </c>
      <c r="AO207" s="87">
        <f t="shared" ref="AO207:AO211" si="114">IF(AC207&gt;0,($AN$136/3)*1.555,0)</f>
        <v>0</v>
      </c>
      <c r="AP207" s="88">
        <f t="shared" si="110"/>
        <v>0</v>
      </c>
      <c r="AQ207" s="68"/>
      <c r="AR207" s="68"/>
      <c r="AS207" s="56">
        <f>'Ship Data Metric'!E72*0.03280839895</f>
        <v>0</v>
      </c>
      <c r="AT207" s="68"/>
      <c r="AU207" s="54"/>
      <c r="AV207" s="54"/>
      <c r="AW207" s="54"/>
      <c r="AX207" s="54"/>
      <c r="AY207" s="54"/>
    </row>
    <row r="208" ht="15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75"/>
      <c r="AB208" s="158" t="s">
        <v>25</v>
      </c>
      <c r="AC208" s="56">
        <f>IF('Ship Data Imperial'!E73&gt;0,'Ship Data Imperial'!E73,AS208)</f>
        <v>0</v>
      </c>
      <c r="AD208" s="68"/>
      <c r="AE208" s="68"/>
      <c r="AF208" s="68"/>
      <c r="AG208" s="69">
        <f t="shared" si="100"/>
        <v>0</v>
      </c>
      <c r="AH208" s="80">
        <f>IF(AC208&gt;0,(Masts!$C$14/3)*0.9,0)</f>
        <v>0</v>
      </c>
      <c r="AI208" s="81">
        <f>IF(AC208&gt;0,Masts!$C$15/3,0)</f>
        <v>0</v>
      </c>
      <c r="AJ208" s="85">
        <f t="shared" si="101"/>
        <v>0</v>
      </c>
      <c r="AK208" s="83">
        <f>IF(AC208&gt;0,(Masts!$C$10/3)*0.9,0)</f>
        <v>0</v>
      </c>
      <c r="AL208" s="84">
        <f>IF(AC208&gt;0,Masts!$C$11/3,0)</f>
        <v>0</v>
      </c>
      <c r="AM208" s="85">
        <f t="shared" si="113"/>
        <v>0</v>
      </c>
      <c r="AN208" s="86">
        <f t="shared" si="108"/>
        <v>0</v>
      </c>
      <c r="AO208" s="87">
        <f t="shared" si="114"/>
        <v>0</v>
      </c>
      <c r="AP208" s="88">
        <f t="shared" si="110"/>
        <v>0</v>
      </c>
      <c r="AQ208" s="68"/>
      <c r="AR208" s="68"/>
      <c r="AS208" s="56">
        <f>'Ship Data Metric'!E73*0.03280839895</f>
        <v>0</v>
      </c>
      <c r="AT208" s="68"/>
      <c r="AU208" s="54"/>
      <c r="AV208" s="54"/>
      <c r="AW208" s="54"/>
      <c r="AX208" s="54"/>
      <c r="AY208" s="54"/>
    </row>
    <row r="209" ht="15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75"/>
      <c r="AB209" s="158" t="s">
        <v>40</v>
      </c>
      <c r="AC209" s="56">
        <f>IF('Ship Data Imperial'!E74&gt;0,'Ship Data Imperial'!E74,AS209)</f>
        <v>0</v>
      </c>
      <c r="AD209" s="68"/>
      <c r="AE209" s="68"/>
      <c r="AF209" s="68"/>
      <c r="AG209" s="69">
        <f t="shared" si="100"/>
        <v>0</v>
      </c>
      <c r="AH209" s="80">
        <f>IF(AC209&gt;0,(Masts!$C$14/3)*0.9,0)</f>
        <v>0</v>
      </c>
      <c r="AI209" s="81">
        <f>IF(AC209&gt;0,Masts!$C$15/3,0)</f>
        <v>0</v>
      </c>
      <c r="AJ209" s="85">
        <f t="shared" si="101"/>
        <v>0</v>
      </c>
      <c r="AK209" s="83">
        <f>IF(AC209&gt;0,(Masts!$C$10/3)*0.9,0)</f>
        <v>0</v>
      </c>
      <c r="AL209" s="84">
        <f>IF(AC209&gt;0,Masts!$C$11/3,0)</f>
        <v>0</v>
      </c>
      <c r="AM209" s="85">
        <f t="shared" si="113"/>
        <v>0</v>
      </c>
      <c r="AN209" s="86">
        <f t="shared" si="108"/>
        <v>0</v>
      </c>
      <c r="AO209" s="87">
        <f t="shared" si="114"/>
        <v>0</v>
      </c>
      <c r="AP209" s="88">
        <f t="shared" si="110"/>
        <v>0</v>
      </c>
      <c r="AQ209" s="68"/>
      <c r="AR209" s="68"/>
      <c r="AS209" s="56">
        <f>'Ship Data Metric'!E74*0.03280839895</f>
        <v>0</v>
      </c>
      <c r="AT209" s="68"/>
      <c r="AU209" s="54"/>
      <c r="AV209" s="54"/>
      <c r="AW209" s="54"/>
      <c r="AX209" s="54"/>
      <c r="AY209" s="54"/>
    </row>
    <row r="210" ht="15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75"/>
      <c r="AB210" s="158" t="s">
        <v>41</v>
      </c>
      <c r="AC210" s="56">
        <f>IF('Ship Data Imperial'!E75&gt;0,'Ship Data Imperial'!E75,AS210)</f>
        <v>0</v>
      </c>
      <c r="AD210" s="68"/>
      <c r="AE210" s="68"/>
      <c r="AF210" s="68"/>
      <c r="AG210" s="69">
        <f t="shared" si="100"/>
        <v>0</v>
      </c>
      <c r="AH210" s="80">
        <f>IF(AC210&gt;0,(Masts!$C$14/3)*0.9,0)</f>
        <v>0</v>
      </c>
      <c r="AI210" s="81">
        <f>IF(AC210&gt;0,Masts!$C$15/3,0)</f>
        <v>0</v>
      </c>
      <c r="AJ210" s="85">
        <f t="shared" si="101"/>
        <v>0</v>
      </c>
      <c r="AK210" s="83">
        <f>IF(AC210&gt;0,(Masts!$C$10/3)*0.9,0)</f>
        <v>0</v>
      </c>
      <c r="AL210" s="84">
        <f>IF(AC210&gt;0,Masts!$C$11/3,0)</f>
        <v>0</v>
      </c>
      <c r="AM210" s="85">
        <f t="shared" si="113"/>
        <v>0</v>
      </c>
      <c r="AN210" s="86">
        <f t="shared" si="108"/>
        <v>0</v>
      </c>
      <c r="AO210" s="87">
        <f t="shared" si="114"/>
        <v>0</v>
      </c>
      <c r="AP210" s="88">
        <f t="shared" si="110"/>
        <v>0</v>
      </c>
      <c r="AQ210" s="68"/>
      <c r="AR210" s="68"/>
      <c r="AS210" s="56">
        <f>'Ship Data Metric'!E75*0.03280839895</f>
        <v>0</v>
      </c>
      <c r="AT210" s="68"/>
      <c r="AU210" s="54"/>
      <c r="AV210" s="54"/>
      <c r="AW210" s="54"/>
      <c r="AX210" s="54"/>
      <c r="AY210" s="54"/>
    </row>
    <row r="211" ht="15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75"/>
      <c r="AB211" s="158" t="s">
        <v>42</v>
      </c>
      <c r="AC211" s="56">
        <f>IF('Ship Data Imperial'!E76&gt;0,'Ship Data Imperial'!E76,AS211)</f>
        <v>0</v>
      </c>
      <c r="AD211" s="68"/>
      <c r="AE211" s="68"/>
      <c r="AF211" s="68"/>
      <c r="AG211" s="69">
        <f t="shared" si="100"/>
        <v>0</v>
      </c>
      <c r="AH211" s="80">
        <f>IF(AC211&gt;0,(Masts!$C$14/3)*0.9,0)</f>
        <v>0</v>
      </c>
      <c r="AI211" s="81">
        <f>IF(AC211&gt;0,Masts!$C$15/3,0)</f>
        <v>0</v>
      </c>
      <c r="AJ211" s="85">
        <f t="shared" si="101"/>
        <v>0</v>
      </c>
      <c r="AK211" s="83">
        <f>IF(AC211&gt;0,(Masts!$C$10/3)*0.9,0)</f>
        <v>0</v>
      </c>
      <c r="AL211" s="84">
        <f>IF(AC211&gt;0,Masts!$C$11/3,0)</f>
        <v>0</v>
      </c>
      <c r="AM211" s="85">
        <f t="shared" si="113"/>
        <v>0</v>
      </c>
      <c r="AN211" s="86">
        <f t="shared" si="108"/>
        <v>0</v>
      </c>
      <c r="AO211" s="87">
        <f t="shared" si="114"/>
        <v>0</v>
      </c>
      <c r="AP211" s="88">
        <f t="shared" si="110"/>
        <v>0</v>
      </c>
      <c r="AQ211" s="68"/>
      <c r="AR211" s="68"/>
      <c r="AS211" s="56">
        <f>'Ship Data Metric'!E76*0.03280839895</f>
        <v>0</v>
      </c>
      <c r="AT211" s="68"/>
      <c r="AU211" s="54"/>
      <c r="AV211" s="54"/>
      <c r="AW211" s="54"/>
      <c r="AX211" s="54"/>
      <c r="AY211" s="54"/>
    </row>
    <row r="212" ht="15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75"/>
      <c r="AB212" s="158" t="s">
        <v>43</v>
      </c>
      <c r="AC212" s="56">
        <f>IF('Ship Data Imperial'!E77&gt;0,'Ship Data Imperial'!E77,AS212)</f>
        <v>0</v>
      </c>
      <c r="AD212" s="68"/>
      <c r="AE212" s="68"/>
      <c r="AF212" s="68"/>
      <c r="AG212" s="69">
        <f t="shared" si="100"/>
        <v>0</v>
      </c>
      <c r="AH212" s="80">
        <f>IF(AC212&gt;0,(Masts!$C$14/3)*0.9,0)</f>
        <v>0</v>
      </c>
      <c r="AI212" s="81">
        <f>IF(AC212&gt;0,Masts!$C$15/3,0)</f>
        <v>0</v>
      </c>
      <c r="AJ212" s="85">
        <f t="shared" si="101"/>
        <v>0</v>
      </c>
      <c r="AK212" s="83">
        <f>IF(AC212&gt;0,(Masts!$C$10/3)*0.9,0)</f>
        <v>0</v>
      </c>
      <c r="AL212" s="84">
        <f>IF(AC212&gt;0,Masts!$C$11/3,0)</f>
        <v>0</v>
      </c>
      <c r="AM212" s="85">
        <f t="shared" ref="AM212:AM214" si="115">IF(AC212&gt;0,($AK$136/3)*0.666,0)</f>
        <v>0</v>
      </c>
      <c r="AN212" s="86">
        <f t="shared" si="108"/>
        <v>0</v>
      </c>
      <c r="AO212" s="87">
        <f>IF(AC212&gt;0,($AN$136/3)*1.4285,0)</f>
        <v>0</v>
      </c>
      <c r="AP212" s="88">
        <f t="shared" si="110"/>
        <v>0</v>
      </c>
      <c r="AQ212" s="68"/>
      <c r="AR212" s="68"/>
      <c r="AS212" s="56">
        <f>'Ship Data Metric'!E77*0.03280839895</f>
        <v>0</v>
      </c>
      <c r="AT212" s="68"/>
      <c r="AU212" s="54"/>
      <c r="AV212" s="54"/>
      <c r="AW212" s="54"/>
      <c r="AX212" s="54"/>
      <c r="AY212" s="54"/>
    </row>
    <row r="213" ht="15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75"/>
      <c r="AB213" s="158" t="s">
        <v>44</v>
      </c>
      <c r="AC213" s="56">
        <f>IF('Ship Data Imperial'!E78&gt;0,'Ship Data Imperial'!E78,AS213)</f>
        <v>0</v>
      </c>
      <c r="AD213" s="68"/>
      <c r="AE213" s="68"/>
      <c r="AF213" s="68"/>
      <c r="AG213" s="69">
        <f t="shared" si="100"/>
        <v>0</v>
      </c>
      <c r="AH213" s="80">
        <f>IF(AC213&gt;0,(Masts!$C$14/3)*0.9,0)</f>
        <v>0</v>
      </c>
      <c r="AI213" s="81">
        <f>IF(AC213&gt;0,Masts!$C$15/3,0)</f>
        <v>0</v>
      </c>
      <c r="AJ213" s="85">
        <f t="shared" si="101"/>
        <v>0</v>
      </c>
      <c r="AK213" s="83">
        <f>IF(AC213&gt;0,(Masts!$C$10/3)*0.9,0)</f>
        <v>0</v>
      </c>
      <c r="AL213" s="84">
        <f>IF(AC213&gt;0,Masts!$C$11/3,0)</f>
        <v>0</v>
      </c>
      <c r="AM213" s="85">
        <f t="shared" si="115"/>
        <v>0</v>
      </c>
      <c r="AN213" s="86">
        <f t="shared" si="108"/>
        <v>0</v>
      </c>
      <c r="AO213" s="87">
        <f t="shared" ref="AO213:AO214" si="116">IF(AC213&gt;0,($AN$136/3)*1.333,0)</f>
        <v>0</v>
      </c>
      <c r="AP213" s="88">
        <f t="shared" si="110"/>
        <v>0</v>
      </c>
      <c r="AQ213" s="68"/>
      <c r="AR213" s="68"/>
      <c r="AS213" s="56">
        <f>'Ship Data Metric'!E78*0.03280839895</f>
        <v>0</v>
      </c>
      <c r="AT213" s="68"/>
      <c r="AU213" s="54"/>
      <c r="AV213" s="54"/>
      <c r="AW213" s="54"/>
      <c r="AX213" s="54"/>
      <c r="AY213" s="54"/>
    </row>
    <row r="214" ht="15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75"/>
      <c r="AB214" s="158" t="s">
        <v>45</v>
      </c>
      <c r="AC214" s="56">
        <f>IF('Ship Data Imperial'!E79&gt;0,'Ship Data Imperial'!E79,AS214)</f>
        <v>0</v>
      </c>
      <c r="AD214" s="68"/>
      <c r="AE214" s="68"/>
      <c r="AF214" s="68"/>
      <c r="AG214" s="69">
        <f t="shared" si="100"/>
        <v>0</v>
      </c>
      <c r="AH214" s="80">
        <f>IF(AC214&gt;0,(Masts!$C$14/3)*0.9,0)</f>
        <v>0</v>
      </c>
      <c r="AI214" s="81">
        <f>IF(AC214&gt;0,Masts!$C$15/3,0)</f>
        <v>0</v>
      </c>
      <c r="AJ214" s="85">
        <f t="shared" si="101"/>
        <v>0</v>
      </c>
      <c r="AK214" s="83">
        <f>IF(AC214&gt;0,(Masts!$C$10/3)*0.9,0)</f>
        <v>0</v>
      </c>
      <c r="AL214" s="84">
        <f>IF(AC214&gt;0,Masts!$C$11/3,0)</f>
        <v>0</v>
      </c>
      <c r="AM214" s="85">
        <f t="shared" si="115"/>
        <v>0</v>
      </c>
      <c r="AN214" s="86">
        <f t="shared" si="108"/>
        <v>0</v>
      </c>
      <c r="AO214" s="87">
        <f t="shared" si="116"/>
        <v>0</v>
      </c>
      <c r="AP214" s="88">
        <f t="shared" si="110"/>
        <v>0</v>
      </c>
      <c r="AQ214" s="68"/>
      <c r="AR214" s="68"/>
      <c r="AS214" s="56">
        <f>'Ship Data Metric'!E79*0.03280839895</f>
        <v>0</v>
      </c>
      <c r="AT214" s="68"/>
      <c r="AU214" s="54"/>
      <c r="AV214" s="54"/>
      <c r="AW214" s="54"/>
      <c r="AX214" s="54"/>
      <c r="AY214" s="54"/>
    </row>
    <row r="215" ht="15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75"/>
      <c r="AB215" s="158" t="s">
        <v>46</v>
      </c>
      <c r="AC215" s="56">
        <f>IF('Ship Data Imperial'!E80&gt;0,'Ship Data Imperial'!E80,AS215)</f>
        <v>0</v>
      </c>
      <c r="AD215" s="68"/>
      <c r="AE215" s="68"/>
      <c r="AF215" s="68"/>
      <c r="AG215" s="69">
        <f t="shared" si="100"/>
        <v>0</v>
      </c>
      <c r="AH215" s="80">
        <f>IF(AC215&gt;0,(Masts!$C$14/3)*0.9,0)</f>
        <v>0</v>
      </c>
      <c r="AI215" s="81">
        <f>IF(AC215&gt;0,Masts!$C$15/3,0)</f>
        <v>0</v>
      </c>
      <c r="AJ215" s="85">
        <f t="shared" si="101"/>
        <v>0</v>
      </c>
      <c r="AK215" s="83">
        <f>IF(AC215&gt;0,(Masts!$C$10/3)*0.9,0)</f>
        <v>0</v>
      </c>
      <c r="AL215" s="84">
        <f>IF(AC215&gt;0,Masts!$C$11/3,0)</f>
        <v>0</v>
      </c>
      <c r="AM215" s="85">
        <f>IF(AC215&gt;0,($AK$136/3)*0.6153,0)</f>
        <v>0</v>
      </c>
      <c r="AN215" s="86">
        <f t="shared" si="108"/>
        <v>0</v>
      </c>
      <c r="AO215" s="87">
        <f>IF(AC215&gt;0,($AN$136/3)*1.222,0)</f>
        <v>0</v>
      </c>
      <c r="AP215" s="88">
        <f t="shared" si="110"/>
        <v>0</v>
      </c>
      <c r="AQ215" s="68"/>
      <c r="AR215" s="68"/>
      <c r="AS215" s="56">
        <f>'Ship Data Metric'!E80*0.03280839895</f>
        <v>0</v>
      </c>
      <c r="AT215" s="68"/>
      <c r="AU215" s="54"/>
      <c r="AV215" s="54"/>
      <c r="AW215" s="54"/>
      <c r="AX215" s="54"/>
      <c r="AY215" s="54"/>
    </row>
    <row r="216" ht="15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75" t="s">
        <v>48</v>
      </c>
      <c r="AB216" s="76" t="s">
        <v>24</v>
      </c>
      <c r="AC216" s="56">
        <f>IF('Ship Data Imperial'!E81&gt;0,'Ship Data Imperial'!E81,AS216)</f>
        <v>0</v>
      </c>
      <c r="AD216" s="68"/>
      <c r="AE216" s="68"/>
      <c r="AF216" s="68"/>
      <c r="AG216" s="69">
        <f t="shared" si="100"/>
        <v>0</v>
      </c>
      <c r="AH216" s="80">
        <f>IF(AC216&gt;0,(Masts!$C$14/3)*0.9,0)</f>
        <v>0</v>
      </c>
      <c r="AI216" s="81">
        <f>IF(AC216&gt;0,Masts!$C$15/3,0)</f>
        <v>0</v>
      </c>
      <c r="AJ216" s="85">
        <f t="shared" si="101"/>
        <v>0</v>
      </c>
      <c r="AK216" s="83">
        <f>IF(AC216&gt;0,(Masts!$C$10/3)*0.9,0)</f>
        <v>0</v>
      </c>
      <c r="AL216" s="84">
        <f>IF(AC216&gt;0,Masts!$C$11/3,0)</f>
        <v>0</v>
      </c>
      <c r="AM216" s="85">
        <f t="shared" ref="AM216:AM218" si="117">IF(AC216&gt;0,($AK$136/3)*0.6819,0)</f>
        <v>0</v>
      </c>
      <c r="AN216" s="86">
        <f t="shared" si="108"/>
        <v>0</v>
      </c>
      <c r="AO216" s="87">
        <f t="shared" ref="AO216:AO218" si="118">IF(AC216&gt;0,($AN$136/3)*1.555,0)</f>
        <v>0</v>
      </c>
      <c r="AP216" s="88">
        <f t="shared" si="110"/>
        <v>0</v>
      </c>
      <c r="AQ216" s="68"/>
      <c r="AR216" s="68"/>
      <c r="AS216" s="56">
        <f>'Ship Data Metric'!E81*0.03280839895</f>
        <v>0</v>
      </c>
      <c r="AT216" s="68"/>
      <c r="AU216" s="54"/>
      <c r="AV216" s="54"/>
      <c r="AW216" s="54"/>
      <c r="AX216" s="54"/>
      <c r="AY216" s="54"/>
    </row>
    <row r="217" ht="15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75"/>
      <c r="AB217" s="76" t="s">
        <v>25</v>
      </c>
      <c r="AC217" s="56">
        <f>IF('Ship Data Imperial'!E82&gt;0,'Ship Data Imperial'!E82,AS217)</f>
        <v>0</v>
      </c>
      <c r="AD217" s="68"/>
      <c r="AE217" s="68"/>
      <c r="AF217" s="68"/>
      <c r="AG217" s="69">
        <f t="shared" si="100"/>
        <v>0</v>
      </c>
      <c r="AH217" s="80">
        <f>IF(AC217&gt;0,(Masts!$C$14/3)*0.9,0)</f>
        <v>0</v>
      </c>
      <c r="AI217" s="81">
        <f>IF(AC217&gt;0,Masts!$C$15/3,0)</f>
        <v>0</v>
      </c>
      <c r="AJ217" s="85">
        <f t="shared" si="101"/>
        <v>0</v>
      </c>
      <c r="AK217" s="83">
        <f>IF(AC217&gt;0,(Masts!$C$10/3)*0.9,0)</f>
        <v>0</v>
      </c>
      <c r="AL217" s="84">
        <f>IF(AC217&gt;0,Masts!$C$11/3,0)</f>
        <v>0</v>
      </c>
      <c r="AM217" s="85">
        <f t="shared" si="117"/>
        <v>0</v>
      </c>
      <c r="AN217" s="86">
        <f t="shared" si="108"/>
        <v>0</v>
      </c>
      <c r="AO217" s="87">
        <f t="shared" si="118"/>
        <v>0</v>
      </c>
      <c r="AP217" s="88">
        <f t="shared" si="110"/>
        <v>0</v>
      </c>
      <c r="AQ217" s="68"/>
      <c r="AR217" s="68"/>
      <c r="AS217" s="56">
        <f>'Ship Data Metric'!E82*0.03280839895</f>
        <v>0</v>
      </c>
      <c r="AT217" s="68"/>
      <c r="AU217" s="54"/>
      <c r="AV217" s="54"/>
      <c r="AW217" s="54"/>
      <c r="AX217" s="54"/>
      <c r="AY217" s="54"/>
    </row>
    <row r="218" ht="15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75"/>
      <c r="AB218" s="76" t="s">
        <v>26</v>
      </c>
      <c r="AC218" s="56">
        <f>IF('Ship Data Imperial'!E83&gt;0,'Ship Data Imperial'!E83,AS218)</f>
        <v>0</v>
      </c>
      <c r="AD218" s="68"/>
      <c r="AE218" s="68"/>
      <c r="AF218" s="68"/>
      <c r="AG218" s="69">
        <f t="shared" si="100"/>
        <v>0</v>
      </c>
      <c r="AH218" s="80">
        <f>IF(AC218&gt;0,(Masts!$C$14/3)*0.9,0)</f>
        <v>0</v>
      </c>
      <c r="AI218" s="81">
        <f>IF(AC218&gt;0,Masts!$C$15/3,0)</f>
        <v>0</v>
      </c>
      <c r="AJ218" s="85">
        <f t="shared" si="101"/>
        <v>0</v>
      </c>
      <c r="AK218" s="83">
        <f>IF(AC218&gt;0,(Masts!$C$10/3)*0.9,0)</f>
        <v>0</v>
      </c>
      <c r="AL218" s="84">
        <f>IF(AC218&gt;0,Masts!$C$11/3,0)</f>
        <v>0</v>
      </c>
      <c r="AM218" s="85">
        <f t="shared" si="117"/>
        <v>0</v>
      </c>
      <c r="AN218" s="86">
        <f t="shared" si="108"/>
        <v>0</v>
      </c>
      <c r="AO218" s="87">
        <f t="shared" si="118"/>
        <v>0</v>
      </c>
      <c r="AP218" s="88">
        <f t="shared" si="110"/>
        <v>0</v>
      </c>
      <c r="AQ218" s="68"/>
      <c r="AR218" s="68"/>
      <c r="AS218" s="56">
        <f>'Ship Data Metric'!E83*0.03280839895</f>
        <v>0</v>
      </c>
      <c r="AT218" s="68"/>
      <c r="AU218" s="54"/>
      <c r="AV218" s="54"/>
      <c r="AW218" s="54"/>
      <c r="AX218" s="54"/>
      <c r="AY218" s="54"/>
    </row>
    <row r="219" ht="15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75"/>
      <c r="AB219" s="76" t="s">
        <v>27</v>
      </c>
      <c r="AC219" s="56">
        <f>IF('Ship Data Imperial'!E84&gt;0,'Ship Data Imperial'!E84,AS219)</f>
        <v>0</v>
      </c>
      <c r="AD219" s="68"/>
      <c r="AE219" s="68"/>
      <c r="AF219" s="68"/>
      <c r="AG219" s="69">
        <f t="shared" si="100"/>
        <v>0</v>
      </c>
      <c r="AH219" s="80">
        <f>IF(AC219&gt;0,(Masts!$C$14/3)*0.9,0)</f>
        <v>0</v>
      </c>
      <c r="AI219" s="81">
        <f>IF(AC219&gt;0,Masts!$C$15/3,0)</f>
        <v>0</v>
      </c>
      <c r="AJ219" s="85">
        <f t="shared" si="101"/>
        <v>0</v>
      </c>
      <c r="AK219" s="83">
        <f>IF(AC219&gt;0,(Masts!$C$10/3)*0.9,0)</f>
        <v>0</v>
      </c>
      <c r="AL219" s="84">
        <f>IF(AC219&gt;0,Masts!$C$11/3,0)</f>
        <v>0</v>
      </c>
      <c r="AM219" s="85">
        <f t="shared" ref="AM219:AM233" si="119">IF(AC219&gt;0,($AK$136/3)*0.666,0)</f>
        <v>0</v>
      </c>
      <c r="AN219" s="86">
        <f t="shared" si="108"/>
        <v>0</v>
      </c>
      <c r="AO219" s="87">
        <f t="shared" ref="AO219:AO221" si="120">IF(AC219&gt;0,($AN$136/3)*1.4285,0)</f>
        <v>0</v>
      </c>
      <c r="AP219" s="88">
        <f t="shared" si="110"/>
        <v>0</v>
      </c>
      <c r="AQ219" s="68"/>
      <c r="AR219" s="68"/>
      <c r="AS219" s="56">
        <f>'Ship Data Metric'!E84*0.03280839895</f>
        <v>0</v>
      </c>
      <c r="AT219" s="68"/>
      <c r="AU219" s="54"/>
      <c r="AV219" s="54"/>
      <c r="AW219" s="54"/>
      <c r="AX219" s="54"/>
      <c r="AY219" s="54"/>
    </row>
    <row r="220" ht="15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75"/>
      <c r="AB220" s="76" t="s">
        <v>28</v>
      </c>
      <c r="AC220" s="56">
        <f>IF('Ship Data Imperial'!E85&gt;0,'Ship Data Imperial'!E85,AS220)</f>
        <v>0</v>
      </c>
      <c r="AD220" s="68"/>
      <c r="AE220" s="68"/>
      <c r="AF220" s="68"/>
      <c r="AG220" s="69">
        <f t="shared" si="100"/>
        <v>0</v>
      </c>
      <c r="AH220" s="80">
        <f>IF(AC220&gt;0,(Masts!$C$14/3)*0.9,0)</f>
        <v>0</v>
      </c>
      <c r="AI220" s="81">
        <f>IF(AC220&gt;0,Masts!$C$15/3,0)</f>
        <v>0</v>
      </c>
      <c r="AJ220" s="85">
        <f t="shared" si="101"/>
        <v>0</v>
      </c>
      <c r="AK220" s="83">
        <f>IF(AC220&gt;0,(Masts!$C$10/3)*0.9,0)</f>
        <v>0</v>
      </c>
      <c r="AL220" s="84">
        <f>IF(AC220&gt;0,Masts!$C$11/3,0)</f>
        <v>0</v>
      </c>
      <c r="AM220" s="85">
        <f t="shared" si="119"/>
        <v>0</v>
      </c>
      <c r="AN220" s="86">
        <f t="shared" si="108"/>
        <v>0</v>
      </c>
      <c r="AO220" s="87">
        <f t="shared" si="120"/>
        <v>0</v>
      </c>
      <c r="AP220" s="88">
        <f t="shared" si="110"/>
        <v>0</v>
      </c>
      <c r="AQ220" s="68"/>
      <c r="AR220" s="68"/>
      <c r="AS220" s="56">
        <f>'Ship Data Metric'!E85*0.03280839895</f>
        <v>0</v>
      </c>
      <c r="AT220" s="68"/>
      <c r="AU220" s="54"/>
      <c r="AV220" s="54"/>
      <c r="AW220" s="54"/>
      <c r="AX220" s="54"/>
      <c r="AY220" s="54"/>
    </row>
    <row r="221" ht="15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75"/>
      <c r="AB221" s="76" t="s">
        <v>29</v>
      </c>
      <c r="AC221" s="56">
        <f>IF('Ship Data Imperial'!E86&gt;0,'Ship Data Imperial'!E86,AS221)</f>
        <v>0</v>
      </c>
      <c r="AD221" s="68"/>
      <c r="AE221" s="68"/>
      <c r="AF221" s="68"/>
      <c r="AG221" s="69">
        <f t="shared" si="100"/>
        <v>0</v>
      </c>
      <c r="AH221" s="80">
        <f>IF(AC221&gt;0,(Masts!$C$14/3)*0.9,0)</f>
        <v>0</v>
      </c>
      <c r="AI221" s="81">
        <f>IF(AC221&gt;0,Masts!$C$15/3,0)</f>
        <v>0</v>
      </c>
      <c r="AJ221" s="85">
        <f t="shared" si="101"/>
        <v>0</v>
      </c>
      <c r="AK221" s="83">
        <f>IF(AC221&gt;0,(Masts!$C$10/3)*0.9,0)</f>
        <v>0</v>
      </c>
      <c r="AL221" s="84">
        <f>IF(AC221&gt;0,Masts!$C$11/3,0)</f>
        <v>0</v>
      </c>
      <c r="AM221" s="85">
        <f t="shared" si="119"/>
        <v>0</v>
      </c>
      <c r="AN221" s="86">
        <f t="shared" si="108"/>
        <v>0</v>
      </c>
      <c r="AO221" s="87">
        <f t="shared" si="120"/>
        <v>0</v>
      </c>
      <c r="AP221" s="88">
        <f t="shared" si="110"/>
        <v>0</v>
      </c>
      <c r="AQ221" s="68"/>
      <c r="AR221" s="68"/>
      <c r="AS221" s="56">
        <f>'Ship Data Metric'!E86*0.03280839895</f>
        <v>0</v>
      </c>
      <c r="AT221" s="68"/>
      <c r="AU221" s="54"/>
      <c r="AV221" s="54"/>
      <c r="AW221" s="54"/>
      <c r="AX221" s="54"/>
      <c r="AY221" s="54"/>
    </row>
    <row r="222" ht="15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75">
        <v>1773.0</v>
      </c>
      <c r="AB222" s="76" t="s">
        <v>24</v>
      </c>
      <c r="AC222" s="56">
        <f>IF('Ship Data Imperial'!E87&gt;0,'Ship Data Imperial'!E87,AS222)</f>
        <v>0</v>
      </c>
      <c r="AD222" s="68"/>
      <c r="AE222" s="68"/>
      <c r="AF222" s="68"/>
      <c r="AG222" s="69">
        <f t="shared" ref="AG222:AG233" si="121">IF(AC222&gt;0,($AG$136/3)*0.9,0)</f>
        <v>0</v>
      </c>
      <c r="AH222" s="80">
        <f>IF(AC222&gt;0,(Masts!$C$14/3)*0.9,0)</f>
        <v>0</v>
      </c>
      <c r="AI222" s="81">
        <f>IF(AC222&gt;0,Masts!$C$15/3,0)</f>
        <v>0</v>
      </c>
      <c r="AJ222" s="85">
        <f t="shared" ref="AJ222:AJ233" si="122">IF(AC222&gt;0,($AI$136/3)*0.9,0)</f>
        <v>0</v>
      </c>
      <c r="AK222" s="83">
        <f>IF(AC222&gt;0,(Masts!$C$10/3)*0.9,0)</f>
        <v>0</v>
      </c>
      <c r="AL222" s="84">
        <f>IF(AC222&gt;0,Masts!$C$11/3,0)</f>
        <v>0</v>
      </c>
      <c r="AM222" s="85">
        <f t="shared" si="119"/>
        <v>0</v>
      </c>
      <c r="AN222" s="86">
        <f t="shared" ref="AN222:AN271" si="123">IF(AC222&gt;0,($AL$136/3)*0.7,0)</f>
        <v>0</v>
      </c>
      <c r="AO222" s="87">
        <f t="shared" ref="AO222:AO235" si="124">IF(AC222&gt;0,($AN$136/3)*1.555,0)</f>
        <v>0</v>
      </c>
      <c r="AP222" s="77">
        <f>SUM(AP138:AP221)</f>
        <v>0</v>
      </c>
      <c r="AQ222" s="68"/>
      <c r="AR222" s="68"/>
      <c r="AS222" s="56">
        <f>'Ship Data Metric'!E87*0.03280839895</f>
        <v>0</v>
      </c>
      <c r="AT222" s="68"/>
      <c r="AU222" s="54"/>
      <c r="AV222" s="54"/>
      <c r="AW222" s="54"/>
      <c r="AX222" s="54"/>
      <c r="AY222" s="54"/>
    </row>
    <row r="223" ht="15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75"/>
      <c r="AB223" s="76" t="s">
        <v>25</v>
      </c>
      <c r="AC223" s="56">
        <f>IF('Ship Data Imperial'!E88&gt;0,'Ship Data Imperial'!E88,AS223)</f>
        <v>0</v>
      </c>
      <c r="AD223" s="68"/>
      <c r="AE223" s="68"/>
      <c r="AF223" s="68"/>
      <c r="AG223" s="69">
        <f t="shared" si="121"/>
        <v>0</v>
      </c>
      <c r="AH223" s="80">
        <f>IF(AC223&gt;0,(Masts!$C$14/3)*0.9,0)</f>
        <v>0</v>
      </c>
      <c r="AI223" s="81">
        <f>IF(AC223&gt;0,Masts!$C$15/3,0)</f>
        <v>0</v>
      </c>
      <c r="AJ223" s="85">
        <f t="shared" si="122"/>
        <v>0</v>
      </c>
      <c r="AK223" s="83">
        <f>IF(AC223&gt;0,(Masts!$C$10/3)*0.9,0)</f>
        <v>0</v>
      </c>
      <c r="AL223" s="84">
        <f>IF(AC223&gt;0,Masts!$C$11/3,0)</f>
        <v>0</v>
      </c>
      <c r="AM223" s="85">
        <f t="shared" si="119"/>
        <v>0</v>
      </c>
      <c r="AN223" s="86">
        <f t="shared" si="123"/>
        <v>0</v>
      </c>
      <c r="AO223" s="87">
        <f t="shared" si="124"/>
        <v>0</v>
      </c>
      <c r="AP223" s="159"/>
      <c r="AQ223" s="68"/>
      <c r="AR223" s="68"/>
      <c r="AS223" s="56">
        <f>'Ship Data Metric'!E88*0.03280839895</f>
        <v>0</v>
      </c>
      <c r="AT223" s="68"/>
      <c r="AU223" s="54"/>
      <c r="AV223" s="54"/>
      <c r="AW223" s="54"/>
      <c r="AX223" s="54"/>
      <c r="AY223" s="54"/>
    </row>
    <row r="224" ht="15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75"/>
      <c r="AB224" s="76" t="s">
        <v>26</v>
      </c>
      <c r="AC224" s="56">
        <f>IF('Ship Data Imperial'!E89&gt;0,'Ship Data Imperial'!E89,AS224)</f>
        <v>0</v>
      </c>
      <c r="AD224" s="68"/>
      <c r="AE224" s="68"/>
      <c r="AF224" s="68"/>
      <c r="AG224" s="69">
        <f t="shared" si="121"/>
        <v>0</v>
      </c>
      <c r="AH224" s="80">
        <f>IF(AC224&gt;0,(Masts!$C$14/3)*0.9,0)</f>
        <v>0</v>
      </c>
      <c r="AI224" s="81">
        <f>IF(AC224&gt;0,Masts!$C$15/3,0)</f>
        <v>0</v>
      </c>
      <c r="AJ224" s="85">
        <f t="shared" si="122"/>
        <v>0</v>
      </c>
      <c r="AK224" s="83">
        <f>IF(AC224&gt;0,(Masts!$C$10/3)*0.9,0)</f>
        <v>0</v>
      </c>
      <c r="AL224" s="84">
        <f>IF(AC224&gt;0,Masts!$C$11/3,0)</f>
        <v>0</v>
      </c>
      <c r="AM224" s="85">
        <f t="shared" si="119"/>
        <v>0</v>
      </c>
      <c r="AN224" s="86">
        <f t="shared" si="123"/>
        <v>0</v>
      </c>
      <c r="AO224" s="87">
        <f t="shared" si="124"/>
        <v>0</v>
      </c>
      <c r="AP224" s="159"/>
      <c r="AQ224" s="68"/>
      <c r="AR224" s="68"/>
      <c r="AS224" s="56">
        <f>'Ship Data Metric'!E89*0.03280839895</f>
        <v>0</v>
      </c>
      <c r="AT224" s="68"/>
      <c r="AU224" s="54"/>
      <c r="AV224" s="54"/>
      <c r="AW224" s="54"/>
      <c r="AX224" s="54"/>
      <c r="AY224" s="54"/>
    </row>
    <row r="225" ht="15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75"/>
      <c r="AB225" s="76" t="s">
        <v>27</v>
      </c>
      <c r="AC225" s="56">
        <f>IF('Ship Data Imperial'!E90&gt;0,'Ship Data Imperial'!E90,AS225)</f>
        <v>0</v>
      </c>
      <c r="AD225" s="68"/>
      <c r="AE225" s="68"/>
      <c r="AF225" s="68"/>
      <c r="AG225" s="69">
        <f t="shared" si="121"/>
        <v>0</v>
      </c>
      <c r="AH225" s="80">
        <f>IF(AC225&gt;0,(Masts!$C$14/3)*0.9,0)</f>
        <v>0</v>
      </c>
      <c r="AI225" s="81">
        <f>IF(AC225&gt;0,Masts!$C$15/3,0)</f>
        <v>0</v>
      </c>
      <c r="AJ225" s="85">
        <f t="shared" si="122"/>
        <v>0</v>
      </c>
      <c r="AK225" s="83">
        <f>IF(AC225&gt;0,(Masts!$C$10/3)*0.9,0)</f>
        <v>0</v>
      </c>
      <c r="AL225" s="84">
        <f>IF(AC225&gt;0,Masts!$C$11/3,0)</f>
        <v>0</v>
      </c>
      <c r="AM225" s="85">
        <f t="shared" si="119"/>
        <v>0</v>
      </c>
      <c r="AN225" s="86">
        <f t="shared" si="123"/>
        <v>0</v>
      </c>
      <c r="AO225" s="87">
        <f t="shared" si="124"/>
        <v>0</v>
      </c>
      <c r="AP225" s="159"/>
      <c r="AQ225" s="68"/>
      <c r="AR225" s="68"/>
      <c r="AS225" s="56">
        <f>'Ship Data Metric'!E90*0.03280839895</f>
        <v>0</v>
      </c>
      <c r="AT225" s="68"/>
      <c r="AU225" s="54"/>
      <c r="AV225" s="54"/>
      <c r="AW225" s="54"/>
      <c r="AX225" s="54"/>
      <c r="AY225" s="54"/>
    </row>
    <row r="226" ht="15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75"/>
      <c r="AB226" s="76" t="s">
        <v>28</v>
      </c>
      <c r="AC226" s="56">
        <f>IF('Ship Data Imperial'!E91&gt;0,'Ship Data Imperial'!E91,AS226)</f>
        <v>0</v>
      </c>
      <c r="AD226" s="68"/>
      <c r="AE226" s="68"/>
      <c r="AF226" s="68"/>
      <c r="AG226" s="69">
        <f t="shared" si="121"/>
        <v>0</v>
      </c>
      <c r="AH226" s="80">
        <f>IF(AC226&gt;0,(Masts!$C$14/3)*0.9,0)</f>
        <v>0</v>
      </c>
      <c r="AI226" s="81">
        <f>IF(AC226&gt;0,Masts!$C$15/3,0)</f>
        <v>0</v>
      </c>
      <c r="AJ226" s="85">
        <f t="shared" si="122"/>
        <v>0</v>
      </c>
      <c r="AK226" s="83">
        <f>IF(AC226&gt;0,(Masts!$C$10/3)*0.9,0)</f>
        <v>0</v>
      </c>
      <c r="AL226" s="84">
        <f>IF(AC226&gt;0,Masts!$C$11/3,0)</f>
        <v>0</v>
      </c>
      <c r="AM226" s="85">
        <f t="shared" si="119"/>
        <v>0</v>
      </c>
      <c r="AN226" s="86">
        <f t="shared" si="123"/>
        <v>0</v>
      </c>
      <c r="AO226" s="87">
        <f t="shared" si="124"/>
        <v>0</v>
      </c>
      <c r="AP226" s="159"/>
      <c r="AQ226" s="68"/>
      <c r="AR226" s="68"/>
      <c r="AS226" s="56">
        <f>'Ship Data Metric'!E91*0.03280839895</f>
        <v>0</v>
      </c>
      <c r="AT226" s="68"/>
      <c r="AU226" s="54"/>
      <c r="AV226" s="54"/>
      <c r="AW226" s="54"/>
      <c r="AX226" s="54"/>
      <c r="AY226" s="54"/>
    </row>
    <row r="227" ht="15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75"/>
      <c r="AB227" s="76" t="s">
        <v>29</v>
      </c>
      <c r="AC227" s="56">
        <f>IF('Ship Data Imperial'!E92&gt;0,'Ship Data Imperial'!E92,AS227)</f>
        <v>0</v>
      </c>
      <c r="AD227" s="68"/>
      <c r="AE227" s="68"/>
      <c r="AF227" s="68"/>
      <c r="AG227" s="69">
        <f t="shared" si="121"/>
        <v>0</v>
      </c>
      <c r="AH227" s="80">
        <f>IF(AC227&gt;0,(Masts!$C$14/3)*0.9,0)</f>
        <v>0</v>
      </c>
      <c r="AI227" s="81">
        <f>IF(AC227&gt;0,Masts!$C$15/3,0)</f>
        <v>0</v>
      </c>
      <c r="AJ227" s="85">
        <f t="shared" si="122"/>
        <v>0</v>
      </c>
      <c r="AK227" s="83">
        <f>IF(AC227&gt;0,(Masts!$C$10/3)*0.9,0)</f>
        <v>0</v>
      </c>
      <c r="AL227" s="84">
        <f>IF(AC227&gt;0,Masts!$C$11/3,0)</f>
        <v>0</v>
      </c>
      <c r="AM227" s="85">
        <f t="shared" si="119"/>
        <v>0</v>
      </c>
      <c r="AN227" s="86">
        <f t="shared" si="123"/>
        <v>0</v>
      </c>
      <c r="AO227" s="87">
        <f t="shared" si="124"/>
        <v>0</v>
      </c>
      <c r="AP227" s="159"/>
      <c r="AQ227" s="68"/>
      <c r="AR227" s="68"/>
      <c r="AS227" s="56">
        <f>'Ship Data Metric'!E92*0.03280839895</f>
        <v>0</v>
      </c>
      <c r="AT227" s="68"/>
      <c r="AU227" s="54"/>
      <c r="AV227" s="54"/>
      <c r="AW227" s="54"/>
      <c r="AX227" s="54"/>
      <c r="AY227" s="54"/>
    </row>
    <row r="228" ht="15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75" t="s">
        <v>49</v>
      </c>
      <c r="AB228" s="76" t="s">
        <v>24</v>
      </c>
      <c r="AC228" s="56">
        <f>IF('Ship Data Imperial'!E93&gt;0,'Ship Data Imperial'!E93,AS228)</f>
        <v>0</v>
      </c>
      <c r="AD228" s="68"/>
      <c r="AE228" s="68"/>
      <c r="AF228" s="68"/>
      <c r="AG228" s="69">
        <f t="shared" si="121"/>
        <v>0</v>
      </c>
      <c r="AH228" s="80">
        <f>IF(AC228&gt;0,(Masts!$C$14/3)*0.9,0)</f>
        <v>0</v>
      </c>
      <c r="AI228" s="81">
        <f>IF(AC228&gt;0,Masts!$C$15/3,0)</f>
        <v>0</v>
      </c>
      <c r="AJ228" s="85">
        <f t="shared" si="122"/>
        <v>0</v>
      </c>
      <c r="AK228" s="83">
        <f>IF(AC228&gt;0,Masts!$C$10/3,0)</f>
        <v>0</v>
      </c>
      <c r="AL228" s="84">
        <f>IF(AC228&gt;0,Masts!$C$11/3,0)</f>
        <v>0</v>
      </c>
      <c r="AM228" s="85">
        <f t="shared" si="119"/>
        <v>0</v>
      </c>
      <c r="AN228" s="86">
        <f t="shared" si="123"/>
        <v>0</v>
      </c>
      <c r="AO228" s="87">
        <f t="shared" si="124"/>
        <v>0</v>
      </c>
      <c r="AP228" s="68"/>
      <c r="AQ228" s="68"/>
      <c r="AR228" s="68"/>
      <c r="AS228" s="56">
        <f>'Ship Data Metric'!E93*0.03280839895</f>
        <v>0</v>
      </c>
      <c r="AT228" s="68"/>
      <c r="AU228" s="54"/>
      <c r="AV228" s="54"/>
      <c r="AW228" s="54"/>
      <c r="AX228" s="54"/>
      <c r="AY228" s="54"/>
    </row>
    <row r="229" ht="15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75"/>
      <c r="AB229" s="76" t="s">
        <v>25</v>
      </c>
      <c r="AC229" s="56">
        <f>IF('Ship Data Imperial'!E94&gt;0,'Ship Data Imperial'!E94,AS229)</f>
        <v>0</v>
      </c>
      <c r="AD229" s="68"/>
      <c r="AE229" s="68"/>
      <c r="AF229" s="68"/>
      <c r="AG229" s="69">
        <f t="shared" si="121"/>
        <v>0</v>
      </c>
      <c r="AH229" s="80">
        <f>IF(AC229&gt;0,(Masts!$C$14/3)*0.9,0)</f>
        <v>0</v>
      </c>
      <c r="AI229" s="81">
        <f>IF(AC229&gt;0,Masts!$C$15/3,0)</f>
        <v>0</v>
      </c>
      <c r="AJ229" s="85">
        <f t="shared" si="122"/>
        <v>0</v>
      </c>
      <c r="AK229" s="83">
        <f>IF(AC229&gt;0,Masts!$C$10/3,0)</f>
        <v>0</v>
      </c>
      <c r="AL229" s="84">
        <f>IF(AC229&gt;0,Masts!$C$11/3,0)</f>
        <v>0</v>
      </c>
      <c r="AM229" s="85">
        <f t="shared" si="119"/>
        <v>0</v>
      </c>
      <c r="AN229" s="86">
        <f t="shared" si="123"/>
        <v>0</v>
      </c>
      <c r="AO229" s="87">
        <f t="shared" si="124"/>
        <v>0</v>
      </c>
      <c r="AP229" s="68"/>
      <c r="AQ229" s="68"/>
      <c r="AR229" s="68"/>
      <c r="AS229" s="56">
        <f>'Ship Data Metric'!E94*0.03280839895</f>
        <v>0</v>
      </c>
      <c r="AT229" s="68"/>
      <c r="AU229" s="54"/>
      <c r="AV229" s="54"/>
      <c r="AW229" s="54"/>
      <c r="AX229" s="54"/>
      <c r="AY229" s="54"/>
    </row>
    <row r="230" ht="15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75"/>
      <c r="AB230" s="76" t="s">
        <v>26</v>
      </c>
      <c r="AC230" s="56">
        <f>IF('Ship Data Imperial'!E95&gt;0,'Ship Data Imperial'!E95,AS230)</f>
        <v>0</v>
      </c>
      <c r="AD230" s="68"/>
      <c r="AE230" s="68"/>
      <c r="AF230" s="68"/>
      <c r="AG230" s="69">
        <f t="shared" si="121"/>
        <v>0</v>
      </c>
      <c r="AH230" s="80">
        <f>IF(AC230&gt;0,(Masts!$C$14/3)*0.9,0)</f>
        <v>0</v>
      </c>
      <c r="AI230" s="81">
        <f>IF(AC230&gt;0,Masts!$C$15/3,0)</f>
        <v>0</v>
      </c>
      <c r="AJ230" s="85">
        <f t="shared" si="122"/>
        <v>0</v>
      </c>
      <c r="AK230" s="83">
        <f>IF(AC230&gt;0,Masts!$C$10/3,0)</f>
        <v>0</v>
      </c>
      <c r="AL230" s="84">
        <f>IF(AC230&gt;0,Masts!$C$11/3,0)</f>
        <v>0</v>
      </c>
      <c r="AM230" s="85">
        <f t="shared" si="119"/>
        <v>0</v>
      </c>
      <c r="AN230" s="86">
        <f t="shared" si="123"/>
        <v>0</v>
      </c>
      <c r="AO230" s="87">
        <f t="shared" si="124"/>
        <v>0</v>
      </c>
      <c r="AP230" s="68"/>
      <c r="AQ230" s="68"/>
      <c r="AR230" s="68"/>
      <c r="AS230" s="56">
        <f>'Ship Data Metric'!E95*0.03280839895</f>
        <v>0</v>
      </c>
      <c r="AT230" s="68"/>
      <c r="AU230" s="54"/>
      <c r="AV230" s="54"/>
      <c r="AW230" s="54"/>
      <c r="AX230" s="54"/>
      <c r="AY230" s="54"/>
    </row>
    <row r="231" ht="15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75"/>
      <c r="AB231" s="76" t="s">
        <v>27</v>
      </c>
      <c r="AC231" s="56">
        <f>IF('Ship Data Imperial'!E96&gt;0,'Ship Data Imperial'!E96,AS231)</f>
        <v>0</v>
      </c>
      <c r="AD231" s="68"/>
      <c r="AE231" s="68"/>
      <c r="AF231" s="68"/>
      <c r="AG231" s="69">
        <f t="shared" si="121"/>
        <v>0</v>
      </c>
      <c r="AH231" s="80">
        <f>IF(AC231&gt;0,(Masts!$C$14/3)*0.9,0)</f>
        <v>0</v>
      </c>
      <c r="AI231" s="81">
        <f>IF(AC231&gt;0,Masts!$C$15/3,0)</f>
        <v>0</v>
      </c>
      <c r="AJ231" s="85">
        <f t="shared" si="122"/>
        <v>0</v>
      </c>
      <c r="AK231" s="83">
        <f>IF(AC231&gt;0,Masts!$C$10/3,0)</f>
        <v>0</v>
      </c>
      <c r="AL231" s="84">
        <f>IF(AC231&gt;0,Masts!$C$11/3,0)</f>
        <v>0</v>
      </c>
      <c r="AM231" s="85">
        <f t="shared" si="119"/>
        <v>0</v>
      </c>
      <c r="AN231" s="86">
        <f t="shared" si="123"/>
        <v>0</v>
      </c>
      <c r="AO231" s="87">
        <f t="shared" si="124"/>
        <v>0</v>
      </c>
      <c r="AP231" s="68"/>
      <c r="AQ231" s="68"/>
      <c r="AR231" s="68"/>
      <c r="AS231" s="56">
        <f>'Ship Data Metric'!E96*0.03280839895</f>
        <v>0</v>
      </c>
      <c r="AT231" s="68"/>
      <c r="AU231" s="54"/>
      <c r="AV231" s="54"/>
      <c r="AW231" s="54"/>
      <c r="AX231" s="54"/>
      <c r="AY231" s="54"/>
    </row>
    <row r="232" ht="15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75"/>
      <c r="AB232" s="76" t="s">
        <v>28</v>
      </c>
      <c r="AC232" s="56">
        <f>IF('Ship Data Imperial'!E97&gt;0,'Ship Data Imperial'!E97,AS232)</f>
        <v>0</v>
      </c>
      <c r="AD232" s="68"/>
      <c r="AE232" s="68"/>
      <c r="AF232" s="68"/>
      <c r="AG232" s="69">
        <f t="shared" si="121"/>
        <v>0</v>
      </c>
      <c r="AH232" s="80">
        <f>IF(AC232&gt;0,(Masts!$C$14/3)*0.9,0)</f>
        <v>0</v>
      </c>
      <c r="AI232" s="81">
        <f>IF(AC232&gt;0,Masts!$C$15/3,0)</f>
        <v>0</v>
      </c>
      <c r="AJ232" s="85">
        <f t="shared" si="122"/>
        <v>0</v>
      </c>
      <c r="AK232" s="83">
        <f>IF(AC232&gt;0,Masts!$C$10/3,0)</f>
        <v>0</v>
      </c>
      <c r="AL232" s="84">
        <f>IF(AC232&gt;0,Masts!$C$11/3,0)</f>
        <v>0</v>
      </c>
      <c r="AM232" s="85">
        <f t="shared" si="119"/>
        <v>0</v>
      </c>
      <c r="AN232" s="86">
        <f t="shared" si="123"/>
        <v>0</v>
      </c>
      <c r="AO232" s="87">
        <f t="shared" si="124"/>
        <v>0</v>
      </c>
      <c r="AP232" s="68"/>
      <c r="AQ232" s="68"/>
      <c r="AR232" s="68"/>
      <c r="AS232" s="56">
        <f>'Ship Data Metric'!E97*0.03280839895</f>
        <v>0</v>
      </c>
      <c r="AT232" s="68"/>
      <c r="AU232" s="54"/>
      <c r="AV232" s="54"/>
      <c r="AW232" s="54"/>
      <c r="AX232" s="54"/>
      <c r="AY232" s="54"/>
    </row>
    <row r="233" ht="15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75"/>
      <c r="AB233" s="76" t="s">
        <v>29</v>
      </c>
      <c r="AC233" s="56">
        <f>IF('Ship Data Imperial'!E98&gt;0,'Ship Data Imperial'!E98,AS233)</f>
        <v>0</v>
      </c>
      <c r="AD233" s="68"/>
      <c r="AE233" s="68"/>
      <c r="AF233" s="68"/>
      <c r="AG233" s="69">
        <f t="shared" si="121"/>
        <v>0</v>
      </c>
      <c r="AH233" s="80">
        <f>IF(AC233&gt;0,(Masts!$C$14/3)*0.9,0)</f>
        <v>0</v>
      </c>
      <c r="AI233" s="81">
        <f>IF(AC233&gt;0,Masts!$C$15/3,0)</f>
        <v>0</v>
      </c>
      <c r="AJ233" s="85">
        <f t="shared" si="122"/>
        <v>0</v>
      </c>
      <c r="AK233" s="83">
        <f>IF(AC233&gt;0,Masts!$C$10/3,0)</f>
        <v>0</v>
      </c>
      <c r="AL233" s="84">
        <f>IF(AC233&gt;0,Masts!$C$11/3,0)</f>
        <v>0</v>
      </c>
      <c r="AM233" s="85">
        <f t="shared" si="119"/>
        <v>0</v>
      </c>
      <c r="AN233" s="86">
        <f t="shared" si="123"/>
        <v>0</v>
      </c>
      <c r="AO233" s="87">
        <f t="shared" si="124"/>
        <v>0</v>
      </c>
      <c r="AP233" s="68"/>
      <c r="AQ233" s="68"/>
      <c r="AR233" s="68"/>
      <c r="AS233" s="56">
        <f>'Ship Data Metric'!E98*0.03280839895</f>
        <v>0</v>
      </c>
      <c r="AT233" s="68"/>
      <c r="AU233" s="54"/>
      <c r="AV233" s="54"/>
      <c r="AW233" s="54"/>
      <c r="AX233" s="54"/>
      <c r="AY233" s="54"/>
    </row>
    <row r="234" ht="15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75" t="s">
        <v>50</v>
      </c>
      <c r="AB234" s="76" t="s">
        <v>24</v>
      </c>
      <c r="AC234" s="56">
        <f>IF('Ship Data Imperial'!E99&gt;0,'Ship Data Imperial'!E99,AS234)</f>
        <v>0</v>
      </c>
      <c r="AD234" s="68"/>
      <c r="AE234" s="68"/>
      <c r="AF234" s="68"/>
      <c r="AG234" s="69">
        <f t="shared" ref="AG234:AG271" si="125">IF(AC234&gt;0,$AG$136/3,0)</f>
        <v>0</v>
      </c>
      <c r="AH234" s="80">
        <f>IF(AC234&gt;0,Masts!$C$14/3,0)</f>
        <v>0</v>
      </c>
      <c r="AI234" s="81">
        <f>IF(AC234&gt;0,Masts!$C$15/3,0)</f>
        <v>0</v>
      </c>
      <c r="AJ234" s="85">
        <f t="shared" ref="AJ234:AJ271" si="126">IF(AC234&gt;0,$AI$136/3,0)</f>
        <v>0</v>
      </c>
      <c r="AK234" s="83">
        <f>IF(AC234&gt;0,Masts!$C$10/3,0)</f>
        <v>0</v>
      </c>
      <c r="AL234" s="84">
        <f>IF(AC234&gt;0,Masts!$C$11/3,0)</f>
        <v>0</v>
      </c>
      <c r="AM234" s="85">
        <f t="shared" ref="AM234:AM235" si="127">IF(AC234&gt;0,($AK$136/3)*0.6,0)</f>
        <v>0</v>
      </c>
      <c r="AN234" s="86">
        <f t="shared" si="123"/>
        <v>0</v>
      </c>
      <c r="AO234" s="87">
        <f t="shared" si="124"/>
        <v>0</v>
      </c>
      <c r="AP234" s="68"/>
      <c r="AQ234" s="68"/>
      <c r="AR234" s="68"/>
      <c r="AS234" s="56">
        <f>'Ship Data Metric'!E99*0.03280839895</f>
        <v>0</v>
      </c>
      <c r="AT234" s="68"/>
      <c r="AU234" s="54"/>
      <c r="AV234" s="54"/>
      <c r="AW234" s="54"/>
      <c r="AX234" s="54"/>
      <c r="AY234" s="54"/>
    </row>
    <row r="235" ht="15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75"/>
      <c r="AB235" s="76" t="s">
        <v>25</v>
      </c>
      <c r="AC235" s="56">
        <f>IF('Ship Data Imperial'!E100&gt;0,'Ship Data Imperial'!E100,AS235)</f>
        <v>0</v>
      </c>
      <c r="AD235" s="68"/>
      <c r="AE235" s="68"/>
      <c r="AF235" s="68"/>
      <c r="AG235" s="69">
        <f t="shared" si="125"/>
        <v>0</v>
      </c>
      <c r="AH235" s="80">
        <f>IF(AC235&gt;0,Masts!$C$14/3,0)</f>
        <v>0</v>
      </c>
      <c r="AI235" s="81">
        <f>IF(AC235&gt;0,Masts!$C$15/3,0)</f>
        <v>0</v>
      </c>
      <c r="AJ235" s="85">
        <f t="shared" si="126"/>
        <v>0</v>
      </c>
      <c r="AK235" s="83">
        <f>IF(AC235&gt;0,Masts!$C$10/3,0)</f>
        <v>0</v>
      </c>
      <c r="AL235" s="84">
        <f>IF(AC235&gt;0,Masts!$C$11/3,0)</f>
        <v>0</v>
      </c>
      <c r="AM235" s="85">
        <f t="shared" si="127"/>
        <v>0</v>
      </c>
      <c r="AN235" s="86">
        <f t="shared" si="123"/>
        <v>0</v>
      </c>
      <c r="AO235" s="87">
        <f t="shared" si="124"/>
        <v>0</v>
      </c>
      <c r="AP235" s="68"/>
      <c r="AQ235" s="68"/>
      <c r="AR235" s="68"/>
      <c r="AS235" s="56">
        <f>'Ship Data Metric'!E100*0.03280839895</f>
        <v>0</v>
      </c>
      <c r="AT235" s="68"/>
      <c r="AU235" s="54"/>
      <c r="AV235" s="54"/>
      <c r="AW235" s="54"/>
      <c r="AX235" s="54"/>
      <c r="AY235" s="54"/>
    </row>
    <row r="236" ht="15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75"/>
      <c r="AB236" s="76" t="s">
        <v>40</v>
      </c>
      <c r="AC236" s="56">
        <f>IF('Ship Data Imperial'!E101&gt;0,'Ship Data Imperial'!E101,AS236)</f>
        <v>0</v>
      </c>
      <c r="AD236" s="68"/>
      <c r="AE236" s="68"/>
      <c r="AF236" s="68"/>
      <c r="AG236" s="69">
        <f t="shared" si="125"/>
        <v>0</v>
      </c>
      <c r="AH236" s="80">
        <f>IF(AC236&gt;0,Masts!$C$14/3,0)</f>
        <v>0</v>
      </c>
      <c r="AI236" s="81">
        <f>IF(AC236&gt;0,Masts!$C$15/3,0)</f>
        <v>0</v>
      </c>
      <c r="AJ236" s="85">
        <f t="shared" si="126"/>
        <v>0</v>
      </c>
      <c r="AK236" s="83">
        <f>IF(AC236&gt;0,Masts!$C$10/3,0)</f>
        <v>0</v>
      </c>
      <c r="AL236" s="84">
        <f>IF(AC236&gt;0,Masts!$C$11/3,0)</f>
        <v>0</v>
      </c>
      <c r="AM236" s="85">
        <f t="shared" ref="AM236:AM241" si="128">IF(AC236&gt;0,($AK$136/3)*0.666,0)</f>
        <v>0</v>
      </c>
      <c r="AN236" s="86">
        <f t="shared" si="123"/>
        <v>0</v>
      </c>
      <c r="AO236" s="87">
        <f t="shared" ref="AO236:AO241" si="129">IF(AC236&gt;0,($AN$136/3)*1.222,0)</f>
        <v>0</v>
      </c>
      <c r="AP236" s="68"/>
      <c r="AQ236" s="68"/>
      <c r="AR236" s="68"/>
      <c r="AS236" s="56">
        <f>'Ship Data Metric'!E101*0.03280839895</f>
        <v>0</v>
      </c>
      <c r="AT236" s="68"/>
      <c r="AU236" s="54"/>
      <c r="AV236" s="54"/>
      <c r="AW236" s="54"/>
      <c r="AX236" s="54"/>
      <c r="AY236" s="54"/>
    </row>
    <row r="237" ht="15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75"/>
      <c r="AB237" s="76" t="s">
        <v>41</v>
      </c>
      <c r="AC237" s="56">
        <f>IF('Ship Data Imperial'!E102&gt;0,'Ship Data Imperial'!E102,AS237)</f>
        <v>0</v>
      </c>
      <c r="AD237" s="68"/>
      <c r="AE237" s="68"/>
      <c r="AF237" s="68"/>
      <c r="AG237" s="69">
        <f t="shared" si="125"/>
        <v>0</v>
      </c>
      <c r="AH237" s="80">
        <f>IF(AC237&gt;0,Masts!$C$14/3,0)</f>
        <v>0</v>
      </c>
      <c r="AI237" s="81">
        <f>IF(AC237&gt;0,Masts!$C$15/3,0)</f>
        <v>0</v>
      </c>
      <c r="AJ237" s="85">
        <f t="shared" si="126"/>
        <v>0</v>
      </c>
      <c r="AK237" s="83">
        <f>IF(AC237&gt;0,Masts!$C$10/3,0)</f>
        <v>0</v>
      </c>
      <c r="AL237" s="84">
        <f>IF(AC237&gt;0,Masts!$C$11/3,0)</f>
        <v>0</v>
      </c>
      <c r="AM237" s="85">
        <f t="shared" si="128"/>
        <v>0</v>
      </c>
      <c r="AN237" s="86">
        <f t="shared" si="123"/>
        <v>0</v>
      </c>
      <c r="AO237" s="87">
        <f t="shared" si="129"/>
        <v>0</v>
      </c>
      <c r="AP237" s="68"/>
      <c r="AQ237" s="68"/>
      <c r="AR237" s="68"/>
      <c r="AS237" s="56">
        <f>'Ship Data Metric'!E102*0.03280839895</f>
        <v>0</v>
      </c>
      <c r="AT237" s="68"/>
      <c r="AU237" s="54"/>
      <c r="AV237" s="54"/>
      <c r="AW237" s="54"/>
      <c r="AX237" s="54"/>
      <c r="AY237" s="54"/>
    </row>
    <row r="238" ht="15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75"/>
      <c r="AB238" s="76" t="s">
        <v>27</v>
      </c>
      <c r="AC238" s="56">
        <f>IF('Ship Data Imperial'!E103&gt;0,'Ship Data Imperial'!E103,AS238)</f>
        <v>0</v>
      </c>
      <c r="AD238" s="68"/>
      <c r="AE238" s="68"/>
      <c r="AF238" s="68"/>
      <c r="AG238" s="69">
        <f t="shared" si="125"/>
        <v>0</v>
      </c>
      <c r="AH238" s="80">
        <f>IF(AC238&gt;0,Masts!$C$14/3,0)</f>
        <v>0</v>
      </c>
      <c r="AI238" s="81">
        <f>IF(AC238&gt;0,Masts!$C$15/3,0)</f>
        <v>0</v>
      </c>
      <c r="AJ238" s="85">
        <f t="shared" si="126"/>
        <v>0</v>
      </c>
      <c r="AK238" s="83">
        <f>IF(AC238&gt;0,Masts!$C$10/3,0)</f>
        <v>0</v>
      </c>
      <c r="AL238" s="84">
        <f>IF(AC238&gt;0,Masts!$C$11/3,0)</f>
        <v>0</v>
      </c>
      <c r="AM238" s="85">
        <f t="shared" si="128"/>
        <v>0</v>
      </c>
      <c r="AN238" s="86">
        <f t="shared" si="123"/>
        <v>0</v>
      </c>
      <c r="AO238" s="87">
        <f t="shared" si="129"/>
        <v>0</v>
      </c>
      <c r="AP238" s="68"/>
      <c r="AQ238" s="68"/>
      <c r="AR238" s="68"/>
      <c r="AS238" s="56">
        <f>'Ship Data Metric'!E103*0.03280839895</f>
        <v>0</v>
      </c>
      <c r="AT238" s="68"/>
      <c r="AU238" s="54"/>
      <c r="AV238" s="54"/>
      <c r="AW238" s="54"/>
      <c r="AX238" s="54"/>
      <c r="AY238" s="54"/>
    </row>
    <row r="239" ht="15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75"/>
      <c r="AB239" s="76" t="s">
        <v>28</v>
      </c>
      <c r="AC239" s="56">
        <f>IF('Ship Data Imperial'!E104&gt;0,'Ship Data Imperial'!E104,AS239)</f>
        <v>39.29002625</v>
      </c>
      <c r="AD239" s="68"/>
      <c r="AE239" s="68"/>
      <c r="AF239" s="68"/>
      <c r="AG239" s="69">
        <f t="shared" si="125"/>
        <v>13.09667542</v>
      </c>
      <c r="AH239" s="80">
        <f>IF(AC239&gt;0,Masts!$C$14/3,0)</f>
        <v>7.858005249</v>
      </c>
      <c r="AI239" s="81">
        <f>IF(AC239&gt;0,Masts!$C$15/3,0)</f>
        <v>6.548337708</v>
      </c>
      <c r="AJ239" s="85">
        <f t="shared" si="126"/>
        <v>11.78700787</v>
      </c>
      <c r="AK239" s="83">
        <f>IF(AC239&gt;0,Masts!$C$10/3,0)</f>
        <v>7.072204724</v>
      </c>
      <c r="AL239" s="84">
        <f>IF(AC239&gt;0,Masts!$C$11/3,0)</f>
        <v>5.893503937</v>
      </c>
      <c r="AM239" s="85">
        <f t="shared" si="128"/>
        <v>7.414027953</v>
      </c>
      <c r="AN239" s="86">
        <f t="shared" si="123"/>
        <v>3.850422572</v>
      </c>
      <c r="AO239" s="87">
        <f t="shared" si="129"/>
        <v>9.602482415</v>
      </c>
      <c r="AP239" s="68"/>
      <c r="AQ239" s="68"/>
      <c r="AR239" s="68"/>
      <c r="AS239" s="56">
        <f>'Ship Data Metric'!E104*0.03280839895</f>
        <v>39.29002625</v>
      </c>
      <c r="AT239" s="68"/>
      <c r="AU239" s="54"/>
      <c r="AV239" s="54"/>
      <c r="AW239" s="54"/>
      <c r="AX239" s="54"/>
      <c r="AY239" s="54"/>
    </row>
    <row r="240" ht="15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75"/>
      <c r="AB240" s="76" t="s">
        <v>29</v>
      </c>
      <c r="AC240" s="56">
        <f>IF('Ship Data Imperial'!E105&gt;0,'Ship Data Imperial'!E105,AS240)</f>
        <v>0</v>
      </c>
      <c r="AD240" s="68"/>
      <c r="AE240" s="68"/>
      <c r="AF240" s="68"/>
      <c r="AG240" s="69">
        <f t="shared" si="125"/>
        <v>0</v>
      </c>
      <c r="AH240" s="80">
        <f>IF(AC240&gt;0,Masts!$C$14/3,0)</f>
        <v>0</v>
      </c>
      <c r="AI240" s="81">
        <f>IF(AC240&gt;0,Masts!$C$15/3,0)</f>
        <v>0</v>
      </c>
      <c r="AJ240" s="85">
        <f t="shared" si="126"/>
        <v>0</v>
      </c>
      <c r="AK240" s="83">
        <f>IF(AC240&gt;0,Masts!$C$10/3,0)</f>
        <v>0</v>
      </c>
      <c r="AL240" s="84">
        <f>IF(AC240&gt;0,Masts!$C$11/3,0)</f>
        <v>0</v>
      </c>
      <c r="AM240" s="85">
        <f t="shared" si="128"/>
        <v>0</v>
      </c>
      <c r="AN240" s="86">
        <f t="shared" si="123"/>
        <v>0</v>
      </c>
      <c r="AO240" s="87">
        <f t="shared" si="129"/>
        <v>0</v>
      </c>
      <c r="AP240" s="68"/>
      <c r="AQ240" s="68"/>
      <c r="AR240" s="68"/>
      <c r="AS240" s="56">
        <f>'Ship Data Metric'!E105*0.03280839895</f>
        <v>0</v>
      </c>
      <c r="AT240" s="68"/>
      <c r="AU240" s="54"/>
      <c r="AV240" s="54"/>
      <c r="AW240" s="54"/>
      <c r="AX240" s="54"/>
      <c r="AY240" s="54"/>
    </row>
    <row r="241" ht="15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75"/>
      <c r="AB241" s="76" t="s">
        <v>51</v>
      </c>
      <c r="AC241" s="56">
        <f>IF('Ship Data Imperial'!E106&gt;0,'Ship Data Imperial'!E106,AS241)</f>
        <v>0</v>
      </c>
      <c r="AD241" s="68"/>
      <c r="AE241" s="68"/>
      <c r="AF241" s="68"/>
      <c r="AG241" s="69">
        <f t="shared" si="125"/>
        <v>0</v>
      </c>
      <c r="AH241" s="80">
        <f>IF(AC241&gt;0,Masts!$C$14/3,0)</f>
        <v>0</v>
      </c>
      <c r="AI241" s="81">
        <f>IF(AC241&gt;0,Masts!$C$15/3,0)</f>
        <v>0</v>
      </c>
      <c r="AJ241" s="85">
        <f t="shared" si="126"/>
        <v>0</v>
      </c>
      <c r="AK241" s="83">
        <f>IF(AC241&gt;0,Masts!$C$10/3,0)</f>
        <v>0</v>
      </c>
      <c r="AL241" s="84">
        <f>IF(AC241&gt;0,Masts!$C$11/3,0)</f>
        <v>0</v>
      </c>
      <c r="AM241" s="85">
        <f t="shared" si="128"/>
        <v>0</v>
      </c>
      <c r="AN241" s="86">
        <f t="shared" si="123"/>
        <v>0</v>
      </c>
      <c r="AO241" s="87">
        <f t="shared" si="129"/>
        <v>0</v>
      </c>
      <c r="AP241" s="68"/>
      <c r="AQ241" s="68"/>
      <c r="AR241" s="68"/>
      <c r="AS241" s="56">
        <f>'Ship Data Metric'!E106*0.03280839895</f>
        <v>0</v>
      </c>
      <c r="AT241" s="68"/>
      <c r="AU241" s="54"/>
      <c r="AV241" s="54"/>
      <c r="AW241" s="54"/>
      <c r="AX241" s="54"/>
      <c r="AY241" s="54"/>
    </row>
    <row r="242" ht="15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75" t="s">
        <v>52</v>
      </c>
      <c r="AB242" s="76" t="s">
        <v>24</v>
      </c>
      <c r="AC242" s="56">
        <f>IF('Ship Data Imperial'!E107&gt;0,'Ship Data Imperial'!E107,AS242)</f>
        <v>0</v>
      </c>
      <c r="AD242" s="68"/>
      <c r="AE242" s="68"/>
      <c r="AF242" s="68"/>
      <c r="AG242" s="69">
        <f t="shared" si="125"/>
        <v>0</v>
      </c>
      <c r="AH242" s="80">
        <f>IF(AC242&gt;0,Masts!$C$14/3,0)</f>
        <v>0</v>
      </c>
      <c r="AI242" s="81">
        <f>IF(AC242&gt;0,Masts!$C$15/3,0)</f>
        <v>0</v>
      </c>
      <c r="AJ242" s="85">
        <f t="shared" si="126"/>
        <v>0</v>
      </c>
      <c r="AK242" s="83">
        <f>IF(AC242&gt;0,Masts!$C$10/3,0)</f>
        <v>0</v>
      </c>
      <c r="AL242" s="84">
        <f>IF(AC242&gt;0,Masts!$C$11/3,0)</f>
        <v>0</v>
      </c>
      <c r="AM242" s="85">
        <f t="shared" ref="AM242:AM243" si="130">IF(AC242&gt;0,($AK$136/3)*0.6,0)</f>
        <v>0</v>
      </c>
      <c r="AN242" s="86">
        <f t="shared" si="123"/>
        <v>0</v>
      </c>
      <c r="AO242" s="87">
        <f t="shared" ref="AO242:AO243" si="131">IF(AC242&gt;0,($AN$136/3)*1.555,0)</f>
        <v>0</v>
      </c>
      <c r="AP242" s="68"/>
      <c r="AQ242" s="68"/>
      <c r="AR242" s="68"/>
      <c r="AS242" s="56">
        <f>'Ship Data Metric'!E107*0.03280839895</f>
        <v>0</v>
      </c>
      <c r="AT242" s="68"/>
      <c r="AU242" s="54"/>
      <c r="AV242" s="54"/>
      <c r="AW242" s="54"/>
      <c r="AX242" s="54"/>
      <c r="AY242" s="54"/>
    </row>
    <row r="243" ht="15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75"/>
      <c r="AB243" s="76" t="s">
        <v>25</v>
      </c>
      <c r="AC243" s="56">
        <f>IF('Ship Data Imperial'!E108&gt;0,'Ship Data Imperial'!E108,AS243)</f>
        <v>0</v>
      </c>
      <c r="AD243" s="68"/>
      <c r="AE243" s="68"/>
      <c r="AF243" s="68"/>
      <c r="AG243" s="69">
        <f t="shared" si="125"/>
        <v>0</v>
      </c>
      <c r="AH243" s="80">
        <f>IF(AC243&gt;0,Masts!$C$14/3,0)</f>
        <v>0</v>
      </c>
      <c r="AI243" s="81">
        <f>IF(AC243&gt;0,Masts!$C$15/3,0)</f>
        <v>0</v>
      </c>
      <c r="AJ243" s="85">
        <f t="shared" si="126"/>
        <v>0</v>
      </c>
      <c r="AK243" s="83">
        <f>IF(AC243&gt;0,Masts!$C$10/3,0)</f>
        <v>0</v>
      </c>
      <c r="AL243" s="84">
        <f>IF(AC243&gt;0,Masts!$C$11/3,0)</f>
        <v>0</v>
      </c>
      <c r="AM243" s="85">
        <f t="shared" si="130"/>
        <v>0</v>
      </c>
      <c r="AN243" s="86">
        <f t="shared" si="123"/>
        <v>0</v>
      </c>
      <c r="AO243" s="87">
        <f t="shared" si="131"/>
        <v>0</v>
      </c>
      <c r="AP243" s="68"/>
      <c r="AQ243" s="68"/>
      <c r="AR243" s="68"/>
      <c r="AS243" s="56">
        <f>'Ship Data Metric'!E108*0.03280839895</f>
        <v>0</v>
      </c>
      <c r="AT243" s="68"/>
      <c r="AU243" s="54"/>
      <c r="AV243" s="54"/>
      <c r="AW243" s="54"/>
      <c r="AX243" s="54"/>
      <c r="AY243" s="54"/>
    </row>
    <row r="244" ht="15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75"/>
      <c r="AB244" s="76" t="s">
        <v>40</v>
      </c>
      <c r="AC244" s="56">
        <f>IF('Ship Data Imperial'!E109&gt;0,'Ship Data Imperial'!E109,AS244)</f>
        <v>0</v>
      </c>
      <c r="AD244" s="68"/>
      <c r="AE244" s="68"/>
      <c r="AF244" s="68"/>
      <c r="AG244" s="69">
        <f t="shared" si="125"/>
        <v>0</v>
      </c>
      <c r="AH244" s="80">
        <f>IF(AC244&gt;0,Masts!$C$14/3,0)</f>
        <v>0</v>
      </c>
      <c r="AI244" s="81">
        <f>IF(AC244&gt;0,Masts!$C$15/3,0)</f>
        <v>0</v>
      </c>
      <c r="AJ244" s="85">
        <f t="shared" si="126"/>
        <v>0</v>
      </c>
      <c r="AK244" s="83">
        <f>IF(AC244&gt;0,Masts!$C$10/3,0)</f>
        <v>0</v>
      </c>
      <c r="AL244" s="84">
        <f>IF(AC244&gt;0,Masts!$C$11/3,0)</f>
        <v>0</v>
      </c>
      <c r="AM244" s="85">
        <f t="shared" ref="AM244:AM249" si="132">IF(AC244&gt;0,($AK$136/3)*0.666,0)</f>
        <v>0</v>
      </c>
      <c r="AN244" s="86">
        <f t="shared" si="123"/>
        <v>0</v>
      </c>
      <c r="AO244" s="87">
        <f t="shared" ref="AO244:AO249" si="133">IF(AC244&gt;0,($AN$136/3)*1.222,0)</f>
        <v>0</v>
      </c>
      <c r="AP244" s="68"/>
      <c r="AQ244" s="68"/>
      <c r="AR244" s="68"/>
      <c r="AS244" s="56">
        <f>'Ship Data Metric'!E109*0.03280839895</f>
        <v>0</v>
      </c>
      <c r="AT244" s="68"/>
      <c r="AU244" s="54"/>
      <c r="AV244" s="54"/>
      <c r="AW244" s="54"/>
      <c r="AX244" s="54"/>
      <c r="AY244" s="54"/>
    </row>
    <row r="245" ht="15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75"/>
      <c r="AB245" s="76" t="s">
        <v>41</v>
      </c>
      <c r="AC245" s="56">
        <f>IF('Ship Data Imperial'!E110&gt;0,'Ship Data Imperial'!E110,AS245)</f>
        <v>0</v>
      </c>
      <c r="AD245" s="68"/>
      <c r="AE245" s="68"/>
      <c r="AF245" s="68"/>
      <c r="AG245" s="69">
        <f t="shared" si="125"/>
        <v>0</v>
      </c>
      <c r="AH245" s="80">
        <f>IF(AC245&gt;0,Masts!$C$14/3,0)</f>
        <v>0</v>
      </c>
      <c r="AI245" s="81">
        <f>IF(AC245&gt;0,Masts!$C$15/3,0)</f>
        <v>0</v>
      </c>
      <c r="AJ245" s="85">
        <f t="shared" si="126"/>
        <v>0</v>
      </c>
      <c r="AK245" s="83">
        <f>IF(AC245&gt;0,Masts!$C$10/3,0)</f>
        <v>0</v>
      </c>
      <c r="AL245" s="84">
        <f>IF(AC245&gt;0,Masts!$C$11/3,0)</f>
        <v>0</v>
      </c>
      <c r="AM245" s="85">
        <f t="shared" si="132"/>
        <v>0</v>
      </c>
      <c r="AN245" s="86">
        <f t="shared" si="123"/>
        <v>0</v>
      </c>
      <c r="AO245" s="87">
        <f t="shared" si="133"/>
        <v>0</v>
      </c>
      <c r="AP245" s="68"/>
      <c r="AQ245" s="68"/>
      <c r="AR245" s="68"/>
      <c r="AS245" s="56">
        <f>'Ship Data Metric'!E110*0.03280839895</f>
        <v>0</v>
      </c>
      <c r="AT245" s="68"/>
      <c r="AU245" s="54"/>
      <c r="AV245" s="54"/>
      <c r="AW245" s="54"/>
      <c r="AX245" s="54"/>
      <c r="AY245" s="54"/>
    </row>
    <row r="246" ht="15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75"/>
      <c r="AB246" s="76" t="s">
        <v>27</v>
      </c>
      <c r="AC246" s="56">
        <f>IF('Ship Data Imperial'!E111&gt;0,'Ship Data Imperial'!E111,AS246)</f>
        <v>0</v>
      </c>
      <c r="AD246" s="68"/>
      <c r="AE246" s="68"/>
      <c r="AF246" s="68"/>
      <c r="AG246" s="69">
        <f t="shared" si="125"/>
        <v>0</v>
      </c>
      <c r="AH246" s="80">
        <f>IF(AC246&gt;0,Masts!$C$14/3,0)</f>
        <v>0</v>
      </c>
      <c r="AI246" s="81">
        <f>IF(AC246&gt;0,Masts!$C$15/3,0)</f>
        <v>0</v>
      </c>
      <c r="AJ246" s="85">
        <f t="shared" si="126"/>
        <v>0</v>
      </c>
      <c r="AK246" s="83">
        <f>IF(AC246&gt;0,Masts!$C$10/3,0)</f>
        <v>0</v>
      </c>
      <c r="AL246" s="84">
        <f>IF(AC246&gt;0,Masts!$C$11/3,0)</f>
        <v>0</v>
      </c>
      <c r="AM246" s="85">
        <f t="shared" si="132"/>
        <v>0</v>
      </c>
      <c r="AN246" s="86">
        <f t="shared" si="123"/>
        <v>0</v>
      </c>
      <c r="AO246" s="87">
        <f t="shared" si="133"/>
        <v>0</v>
      </c>
      <c r="AP246" s="68"/>
      <c r="AQ246" s="68"/>
      <c r="AR246" s="68"/>
      <c r="AS246" s="56">
        <f>'Ship Data Metric'!E111*0.03280839895</f>
        <v>0</v>
      </c>
      <c r="AT246" s="68"/>
      <c r="AU246" s="54"/>
      <c r="AV246" s="54"/>
      <c r="AW246" s="54"/>
      <c r="AX246" s="54"/>
      <c r="AY246" s="54"/>
    </row>
    <row r="247" ht="15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75"/>
      <c r="AB247" s="76" t="s">
        <v>28</v>
      </c>
      <c r="AC247" s="56">
        <f>IF('Ship Data Imperial'!E112&gt;0,'Ship Data Imperial'!E112,AS247)</f>
        <v>0</v>
      </c>
      <c r="AD247" s="68"/>
      <c r="AE247" s="68"/>
      <c r="AF247" s="68"/>
      <c r="AG247" s="69">
        <f t="shared" si="125"/>
        <v>0</v>
      </c>
      <c r="AH247" s="80">
        <f>IF(AC247&gt;0,Masts!$C$14/3,0)</f>
        <v>0</v>
      </c>
      <c r="AI247" s="81">
        <f>IF(AC247&gt;0,Masts!$C$15/3,0)</f>
        <v>0</v>
      </c>
      <c r="AJ247" s="85">
        <f t="shared" si="126"/>
        <v>0</v>
      </c>
      <c r="AK247" s="83">
        <f>IF(AC247&gt;0,Masts!$C$10/3,0)</f>
        <v>0</v>
      </c>
      <c r="AL247" s="84">
        <f>IF(AC247&gt;0,Masts!$C$11/3,0)</f>
        <v>0</v>
      </c>
      <c r="AM247" s="85">
        <f t="shared" si="132"/>
        <v>0</v>
      </c>
      <c r="AN247" s="86">
        <f t="shared" si="123"/>
        <v>0</v>
      </c>
      <c r="AO247" s="87">
        <f t="shared" si="133"/>
        <v>0</v>
      </c>
      <c r="AP247" s="68"/>
      <c r="AQ247" s="68"/>
      <c r="AR247" s="68"/>
      <c r="AS247" s="56">
        <f>'Ship Data Metric'!E112*0.03280839895</f>
        <v>0</v>
      </c>
      <c r="AT247" s="68"/>
      <c r="AU247" s="54"/>
      <c r="AV247" s="54"/>
      <c r="AW247" s="54"/>
      <c r="AX247" s="54"/>
      <c r="AY247" s="54"/>
    </row>
    <row r="248" ht="15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75"/>
      <c r="AB248" s="76" t="s">
        <v>29</v>
      </c>
      <c r="AC248" s="56">
        <f>IF('Ship Data Imperial'!E113&gt;0,'Ship Data Imperial'!E113,AS248)</f>
        <v>0</v>
      </c>
      <c r="AD248" s="68"/>
      <c r="AE248" s="68"/>
      <c r="AF248" s="68"/>
      <c r="AG248" s="69">
        <f t="shared" si="125"/>
        <v>0</v>
      </c>
      <c r="AH248" s="80">
        <f>IF(AC248&gt;0,Masts!$C$14/3,0)</f>
        <v>0</v>
      </c>
      <c r="AI248" s="81">
        <f>IF(AC248&gt;0,Masts!$C$15/3,0)</f>
        <v>0</v>
      </c>
      <c r="AJ248" s="85">
        <f t="shared" si="126"/>
        <v>0</v>
      </c>
      <c r="AK248" s="83">
        <f>IF(AC248&gt;0,Masts!$C$10/3,0)</f>
        <v>0</v>
      </c>
      <c r="AL248" s="84">
        <f>IF(AC248&gt;0,Masts!$C$11/3,0)</f>
        <v>0</v>
      </c>
      <c r="AM248" s="85">
        <f t="shared" si="132"/>
        <v>0</v>
      </c>
      <c r="AN248" s="86">
        <f t="shared" si="123"/>
        <v>0</v>
      </c>
      <c r="AO248" s="87">
        <f t="shared" si="133"/>
        <v>0</v>
      </c>
      <c r="AP248" s="68"/>
      <c r="AQ248" s="68"/>
      <c r="AR248" s="68"/>
      <c r="AS248" s="56">
        <f>'Ship Data Metric'!E113*0.03280839895</f>
        <v>0</v>
      </c>
      <c r="AT248" s="68"/>
      <c r="AU248" s="54"/>
      <c r="AV248" s="54"/>
      <c r="AW248" s="54"/>
      <c r="AX248" s="54"/>
      <c r="AY248" s="54"/>
    </row>
    <row r="249" ht="15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75"/>
      <c r="AB249" s="76" t="s">
        <v>51</v>
      </c>
      <c r="AC249" s="56">
        <f>IF('Ship Data Imperial'!E114&gt;0,'Ship Data Imperial'!E114,AS249)</f>
        <v>0</v>
      </c>
      <c r="AD249" s="68"/>
      <c r="AE249" s="68"/>
      <c r="AF249" s="68"/>
      <c r="AG249" s="69">
        <f t="shared" si="125"/>
        <v>0</v>
      </c>
      <c r="AH249" s="80">
        <f>IF(AC249&gt;0,Masts!$C$14/3,0)</f>
        <v>0</v>
      </c>
      <c r="AI249" s="81">
        <f>IF(AC249&gt;0,Masts!$C$15/3,0)</f>
        <v>0</v>
      </c>
      <c r="AJ249" s="85">
        <f t="shared" si="126"/>
        <v>0</v>
      </c>
      <c r="AK249" s="83">
        <f>IF(AC249&gt;0,Masts!$C$10/3,0)</f>
        <v>0</v>
      </c>
      <c r="AL249" s="84">
        <f>IF(AC249&gt;0,Masts!$C$11/3,0)</f>
        <v>0</v>
      </c>
      <c r="AM249" s="85">
        <f t="shared" si="132"/>
        <v>0</v>
      </c>
      <c r="AN249" s="86">
        <f t="shared" si="123"/>
        <v>0</v>
      </c>
      <c r="AO249" s="87">
        <f t="shared" si="133"/>
        <v>0</v>
      </c>
      <c r="AP249" s="68"/>
      <c r="AQ249" s="68"/>
      <c r="AR249" s="68"/>
      <c r="AS249" s="56">
        <f>'Ship Data Metric'!E114*0.03280839895</f>
        <v>0</v>
      </c>
      <c r="AT249" s="68"/>
      <c r="AU249" s="54"/>
      <c r="AV249" s="54"/>
      <c r="AW249" s="54"/>
      <c r="AX249" s="54"/>
      <c r="AY249" s="54"/>
    </row>
    <row r="250" ht="15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75" t="s">
        <v>53</v>
      </c>
      <c r="AB250" s="76" t="s">
        <v>24</v>
      </c>
      <c r="AC250" s="56">
        <f>IF('Ship Data Imperial'!E115&gt;0,'Ship Data Imperial'!E115,AS250)</f>
        <v>0</v>
      </c>
      <c r="AD250" s="68"/>
      <c r="AE250" s="68"/>
      <c r="AF250" s="68"/>
      <c r="AG250" s="69">
        <f t="shared" si="125"/>
        <v>0</v>
      </c>
      <c r="AH250" s="80">
        <f>IF(AC250&gt;0,Masts!$C$14/3,0)</f>
        <v>0</v>
      </c>
      <c r="AI250" s="81">
        <f>IF(AC250&gt;0,Masts!$C$15/3,0)</f>
        <v>0</v>
      </c>
      <c r="AJ250" s="85">
        <f t="shared" si="126"/>
        <v>0</v>
      </c>
      <c r="AK250" s="83">
        <f>IF(AC250&gt;0,Masts!$C$10/3,0)</f>
        <v>0</v>
      </c>
      <c r="AL250" s="84">
        <f>IF(AC250&gt;0,Masts!$C$11/3,0)</f>
        <v>0</v>
      </c>
      <c r="AM250" s="85">
        <f t="shared" ref="AM250:AM251" si="134">IF(AC250&gt;0,($AK$136/3)*0.6,0)</f>
        <v>0</v>
      </c>
      <c r="AN250" s="86">
        <f t="shared" si="123"/>
        <v>0</v>
      </c>
      <c r="AO250" s="87">
        <f t="shared" ref="AO250:AO251" si="135">IF(AC250&gt;0,($AN$136/3)*1.555,0)</f>
        <v>0</v>
      </c>
      <c r="AP250" s="68"/>
      <c r="AQ250" s="68"/>
      <c r="AR250" s="68"/>
      <c r="AS250" s="56">
        <f>'Ship Data Metric'!E115*0.03280839895</f>
        <v>0</v>
      </c>
      <c r="AT250" s="68"/>
      <c r="AU250" s="54"/>
      <c r="AV250" s="54"/>
      <c r="AW250" s="54"/>
      <c r="AX250" s="54"/>
      <c r="AY250" s="54"/>
    </row>
    <row r="251" ht="15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75"/>
      <c r="AB251" s="76" t="s">
        <v>25</v>
      </c>
      <c r="AC251" s="56">
        <f>IF('Ship Data Imperial'!E116&gt;0,'Ship Data Imperial'!E116,AS251)</f>
        <v>0</v>
      </c>
      <c r="AD251" s="68"/>
      <c r="AE251" s="68"/>
      <c r="AF251" s="68"/>
      <c r="AG251" s="69">
        <f t="shared" si="125"/>
        <v>0</v>
      </c>
      <c r="AH251" s="80">
        <f>IF(AC251&gt;0,Masts!$C$14/3,0)</f>
        <v>0</v>
      </c>
      <c r="AI251" s="81">
        <f>IF(AC251&gt;0,Masts!$C$15/3,0)</f>
        <v>0</v>
      </c>
      <c r="AJ251" s="85">
        <f t="shared" si="126"/>
        <v>0</v>
      </c>
      <c r="AK251" s="83">
        <f>IF(AC251&gt;0,Masts!$C$10/3,0)</f>
        <v>0</v>
      </c>
      <c r="AL251" s="84">
        <f>IF(AC251&gt;0,Masts!$C$11/3,0)</f>
        <v>0</v>
      </c>
      <c r="AM251" s="85">
        <f t="shared" si="134"/>
        <v>0</v>
      </c>
      <c r="AN251" s="86">
        <f t="shared" si="123"/>
        <v>0</v>
      </c>
      <c r="AO251" s="87">
        <f t="shared" si="135"/>
        <v>0</v>
      </c>
      <c r="AP251" s="68"/>
      <c r="AQ251" s="68"/>
      <c r="AR251" s="68"/>
      <c r="AS251" s="56">
        <f>'Ship Data Metric'!E116*0.03280839895</f>
        <v>0</v>
      </c>
      <c r="AT251" s="68"/>
      <c r="AU251" s="54"/>
      <c r="AV251" s="54"/>
      <c r="AW251" s="54"/>
      <c r="AX251" s="54"/>
      <c r="AY251" s="54"/>
    </row>
    <row r="252" ht="15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75"/>
      <c r="AB252" s="76" t="s">
        <v>26</v>
      </c>
      <c r="AC252" s="56">
        <f>IF('Ship Data Imperial'!E117&gt;0,'Ship Data Imperial'!E117,AS252)</f>
        <v>0</v>
      </c>
      <c r="AD252" s="68"/>
      <c r="AE252" s="68"/>
      <c r="AF252" s="68"/>
      <c r="AG252" s="69">
        <f t="shared" si="125"/>
        <v>0</v>
      </c>
      <c r="AH252" s="80">
        <f>IF(AC252&gt;0,Masts!$C$14/3,0)</f>
        <v>0</v>
      </c>
      <c r="AI252" s="81">
        <f>IF(AC252&gt;0,Masts!$C$15/3,0)</f>
        <v>0</v>
      </c>
      <c r="AJ252" s="85">
        <f t="shared" si="126"/>
        <v>0</v>
      </c>
      <c r="AK252" s="83">
        <f>IF(AC252&gt;0,Masts!$C$10/3,0)</f>
        <v>0</v>
      </c>
      <c r="AL252" s="84">
        <f>IF(AC252&gt;0,Masts!$C$11/3,0)</f>
        <v>0</v>
      </c>
      <c r="AM252" s="85">
        <f t="shared" ref="AM252:AM271" si="136">IF(AC252&gt;0,($AK$136/3)*0.666,0)</f>
        <v>0</v>
      </c>
      <c r="AN252" s="86">
        <f t="shared" si="123"/>
        <v>0</v>
      </c>
      <c r="AO252" s="87">
        <f t="shared" ref="AO252:AO255" si="137">IF(AC252&gt;0,($AN$136/3)*1.333,0)</f>
        <v>0</v>
      </c>
      <c r="AP252" s="68"/>
      <c r="AQ252" s="68"/>
      <c r="AR252" s="68"/>
      <c r="AS252" s="56">
        <f>'Ship Data Metric'!E117*0.03280839895</f>
        <v>0</v>
      </c>
      <c r="AT252" s="68"/>
      <c r="AU252" s="54"/>
      <c r="AV252" s="54"/>
      <c r="AW252" s="54"/>
      <c r="AX252" s="54"/>
      <c r="AY252" s="54"/>
    </row>
    <row r="253" ht="15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75"/>
      <c r="AB253" s="76" t="s">
        <v>27</v>
      </c>
      <c r="AC253" s="56">
        <f>IF('Ship Data Imperial'!E118&gt;0,'Ship Data Imperial'!E118,AS253)</f>
        <v>0</v>
      </c>
      <c r="AD253" s="68"/>
      <c r="AE253" s="68"/>
      <c r="AF253" s="68"/>
      <c r="AG253" s="69">
        <f t="shared" si="125"/>
        <v>0</v>
      </c>
      <c r="AH253" s="80">
        <f>IF(AC253&gt;0,Masts!$C$14/3,0)</f>
        <v>0</v>
      </c>
      <c r="AI253" s="81">
        <f>IF(AC253&gt;0,Masts!$C$15/3,0)</f>
        <v>0</v>
      </c>
      <c r="AJ253" s="85">
        <f t="shared" si="126"/>
        <v>0</v>
      </c>
      <c r="AK253" s="83">
        <f>IF(AC253&gt;0,Masts!$C$10/3,0)</f>
        <v>0</v>
      </c>
      <c r="AL253" s="84">
        <f>IF(AC253&gt;0,Masts!$C$11/3,0)</f>
        <v>0</v>
      </c>
      <c r="AM253" s="85">
        <f t="shared" si="136"/>
        <v>0</v>
      </c>
      <c r="AN253" s="86">
        <f t="shared" si="123"/>
        <v>0</v>
      </c>
      <c r="AO253" s="87">
        <f t="shared" si="137"/>
        <v>0</v>
      </c>
      <c r="AP253" s="68"/>
      <c r="AQ253" s="68"/>
      <c r="AR253" s="68"/>
      <c r="AS253" s="56">
        <f>'Ship Data Metric'!E118*0.03280839895</f>
        <v>0</v>
      </c>
      <c r="AT253" s="68"/>
      <c r="AU253" s="54"/>
      <c r="AV253" s="54"/>
      <c r="AW253" s="54"/>
      <c r="AX253" s="54"/>
      <c r="AY253" s="54"/>
    </row>
    <row r="254" ht="15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75"/>
      <c r="AB254" s="76" t="s">
        <v>28</v>
      </c>
      <c r="AC254" s="56">
        <f>IF('Ship Data Imperial'!E119&gt;0,'Ship Data Imperial'!E119,AS254)</f>
        <v>0</v>
      </c>
      <c r="AD254" s="68"/>
      <c r="AE254" s="68"/>
      <c r="AF254" s="68"/>
      <c r="AG254" s="69">
        <f t="shared" si="125"/>
        <v>0</v>
      </c>
      <c r="AH254" s="80">
        <f>IF(AC254&gt;0,Masts!$C$14/3,0)</f>
        <v>0</v>
      </c>
      <c r="AI254" s="81">
        <f>IF(AC254&gt;0,Masts!$C$15/3,0)</f>
        <v>0</v>
      </c>
      <c r="AJ254" s="85">
        <f t="shared" si="126"/>
        <v>0</v>
      </c>
      <c r="AK254" s="83">
        <f>IF(AC254&gt;0,Masts!$C$10/3,0)</f>
        <v>0</v>
      </c>
      <c r="AL254" s="84">
        <f>IF(AC254&gt;0,Masts!$C$11/3,0)</f>
        <v>0</v>
      </c>
      <c r="AM254" s="85">
        <f t="shared" si="136"/>
        <v>0</v>
      </c>
      <c r="AN254" s="86">
        <f t="shared" si="123"/>
        <v>0</v>
      </c>
      <c r="AO254" s="87">
        <f t="shared" si="137"/>
        <v>0</v>
      </c>
      <c r="AP254" s="68"/>
      <c r="AQ254" s="68"/>
      <c r="AR254" s="68"/>
      <c r="AS254" s="56">
        <f>'Ship Data Metric'!E119*0.03280839895</f>
        <v>0</v>
      </c>
      <c r="AT254" s="68"/>
      <c r="AU254" s="54"/>
      <c r="AV254" s="54"/>
      <c r="AW254" s="54"/>
      <c r="AX254" s="54"/>
      <c r="AY254" s="54"/>
    </row>
    <row r="255" ht="15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75"/>
      <c r="AB255" s="76" t="s">
        <v>29</v>
      </c>
      <c r="AC255" s="56">
        <f>IF('Ship Data Imperial'!E120&gt;0,'Ship Data Imperial'!E120,AS255)</f>
        <v>0</v>
      </c>
      <c r="AD255" s="68"/>
      <c r="AE255" s="68"/>
      <c r="AF255" s="68"/>
      <c r="AG255" s="69">
        <f t="shared" si="125"/>
        <v>0</v>
      </c>
      <c r="AH255" s="80">
        <f>IF(AC255&gt;0,Masts!$C$14/3,0)</f>
        <v>0</v>
      </c>
      <c r="AI255" s="81">
        <f>IF(AC255&gt;0,Masts!$C$15/3,0)</f>
        <v>0</v>
      </c>
      <c r="AJ255" s="85">
        <f t="shared" si="126"/>
        <v>0</v>
      </c>
      <c r="AK255" s="83">
        <f>IF(AC255&gt;0,Masts!$C$10/3,0)</f>
        <v>0</v>
      </c>
      <c r="AL255" s="84">
        <f>IF(AC255&gt;0,Masts!$C$11/3,0)</f>
        <v>0</v>
      </c>
      <c r="AM255" s="85">
        <f t="shared" si="136"/>
        <v>0</v>
      </c>
      <c r="AN255" s="86">
        <f t="shared" si="123"/>
        <v>0</v>
      </c>
      <c r="AO255" s="87">
        <f t="shared" si="137"/>
        <v>0</v>
      </c>
      <c r="AP255" s="68"/>
      <c r="AQ255" s="68"/>
      <c r="AR255" s="68"/>
      <c r="AS255" s="56">
        <f>'Ship Data Metric'!E120*0.03280839895</f>
        <v>0</v>
      </c>
      <c r="AT255" s="68"/>
      <c r="AU255" s="54"/>
      <c r="AV255" s="54"/>
      <c r="AW255" s="54"/>
      <c r="AX255" s="54"/>
      <c r="AY255" s="54"/>
    </row>
    <row r="256" ht="15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75"/>
      <c r="AB256" s="158" t="s">
        <v>54</v>
      </c>
      <c r="AC256" s="56">
        <f>IF('Ship Data Imperial'!E121&gt;0,'Ship Data Imperial'!E121,AS256)</f>
        <v>0</v>
      </c>
      <c r="AD256" s="68"/>
      <c r="AE256" s="68"/>
      <c r="AF256" s="68"/>
      <c r="AG256" s="69">
        <f t="shared" si="125"/>
        <v>0</v>
      </c>
      <c r="AH256" s="80">
        <f>IF(AC256&gt;0,Masts!$C$14/3,0)</f>
        <v>0</v>
      </c>
      <c r="AI256" s="81">
        <f>IF(AC256&gt;0,Masts!$C$15/3,0)</f>
        <v>0</v>
      </c>
      <c r="AJ256" s="85">
        <f t="shared" si="126"/>
        <v>0</v>
      </c>
      <c r="AK256" s="83">
        <f>IF(AC256&gt;0,Masts!$C$10/3,0)</f>
        <v>0</v>
      </c>
      <c r="AL256" s="84">
        <f>IF(AC256&gt;0,Masts!$C$11/3,0)</f>
        <v>0</v>
      </c>
      <c r="AM256" s="85">
        <f t="shared" si="136"/>
        <v>0</v>
      </c>
      <c r="AN256" s="86">
        <f t="shared" si="123"/>
        <v>0</v>
      </c>
      <c r="AO256" s="87">
        <f t="shared" ref="AO256:AO271" si="138">IF(AC256&gt;0,($AN$136/3)*1.222,0)</f>
        <v>0</v>
      </c>
      <c r="AP256" s="68"/>
      <c r="AQ256" s="68"/>
      <c r="AR256" s="68"/>
      <c r="AS256" s="56">
        <f>'Ship Data Metric'!E121*0.03280839895</f>
        <v>0</v>
      </c>
      <c r="AT256" s="68"/>
      <c r="AU256" s="54"/>
      <c r="AV256" s="54"/>
      <c r="AW256" s="54"/>
      <c r="AX256" s="54"/>
      <c r="AY256" s="54"/>
    </row>
    <row r="257" ht="15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75" t="s">
        <v>115</v>
      </c>
      <c r="AB257" s="158" t="s">
        <v>56</v>
      </c>
      <c r="AC257" s="56">
        <f>IF('Ship Data Imperial'!E122&gt;0,'Ship Data Imperial'!E122,AS257)</f>
        <v>0</v>
      </c>
      <c r="AD257" s="68"/>
      <c r="AE257" s="68"/>
      <c r="AF257" s="68"/>
      <c r="AG257" s="69">
        <f t="shared" si="125"/>
        <v>0</v>
      </c>
      <c r="AH257" s="80">
        <f>IF(AC257&gt;0,Masts!$C$14/3,0)</f>
        <v>0</v>
      </c>
      <c r="AI257" s="81">
        <f>IF(AC257&gt;0,Masts!$C$15/3,0)</f>
        <v>0</v>
      </c>
      <c r="AJ257" s="85">
        <f t="shared" si="126"/>
        <v>0</v>
      </c>
      <c r="AK257" s="83">
        <f>IF(AC257&gt;0,Masts!$C$10/3,0)</f>
        <v>0</v>
      </c>
      <c r="AL257" s="84">
        <f>IF(AC257&gt;0,Masts!$C$11/3,0)</f>
        <v>0</v>
      </c>
      <c r="AM257" s="85">
        <f t="shared" si="136"/>
        <v>0</v>
      </c>
      <c r="AN257" s="86">
        <f t="shared" si="123"/>
        <v>0</v>
      </c>
      <c r="AO257" s="87">
        <f t="shared" si="138"/>
        <v>0</v>
      </c>
      <c r="AP257" s="68"/>
      <c r="AQ257" s="68"/>
      <c r="AR257" s="54"/>
      <c r="AS257" s="56">
        <f>'Ship Data Metric'!E122*0.03280839895</f>
        <v>0</v>
      </c>
      <c r="AT257" s="54"/>
      <c r="AU257" s="54"/>
      <c r="AV257" s="54"/>
      <c r="AW257" s="54"/>
      <c r="AX257" s="54"/>
      <c r="AY257" s="54"/>
    </row>
    <row r="258" ht="15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158" t="s">
        <v>60</v>
      </c>
      <c r="AB258" s="158" t="s">
        <v>24</v>
      </c>
      <c r="AC258" s="56">
        <f>IF('Ship Data Imperial'!E123&gt;0,'Ship Data Imperial'!E123,AS258)</f>
        <v>0</v>
      </c>
      <c r="AD258" s="68"/>
      <c r="AE258" s="68"/>
      <c r="AF258" s="68"/>
      <c r="AG258" s="69">
        <f t="shared" si="125"/>
        <v>0</v>
      </c>
      <c r="AH258" s="80">
        <f>IF(AC258&gt;0,Masts!$C$14/3,0)</f>
        <v>0</v>
      </c>
      <c r="AI258" s="81">
        <f>IF(AC258&gt;0,Masts!$C$15/3,0)</f>
        <v>0</v>
      </c>
      <c r="AJ258" s="85">
        <f t="shared" si="126"/>
        <v>0</v>
      </c>
      <c r="AK258" s="83">
        <f>IF(AC258&gt;0,Masts!$C$10/3,0)</f>
        <v>0</v>
      </c>
      <c r="AL258" s="84">
        <f>IF(AC258&gt;0,Masts!$C$11/3,0)</f>
        <v>0</v>
      </c>
      <c r="AM258" s="85">
        <f t="shared" si="136"/>
        <v>0</v>
      </c>
      <c r="AN258" s="86">
        <f t="shared" si="123"/>
        <v>0</v>
      </c>
      <c r="AO258" s="87">
        <f t="shared" si="138"/>
        <v>0</v>
      </c>
      <c r="AP258" s="68"/>
      <c r="AQ258" s="68"/>
      <c r="AR258" s="54"/>
      <c r="AS258" s="56">
        <f>'Ship Data Metric'!E123*0.03280839895</f>
        <v>0</v>
      </c>
      <c r="AT258" s="54"/>
      <c r="AU258" s="54"/>
      <c r="AV258" s="54"/>
      <c r="AW258" s="54"/>
      <c r="AX258" s="54"/>
      <c r="AY258" s="54"/>
    </row>
    <row r="259" ht="15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158"/>
      <c r="AB259" s="158" t="s">
        <v>25</v>
      </c>
      <c r="AC259" s="56">
        <f>IF('Ship Data Imperial'!E124&gt;0,'Ship Data Imperial'!E124,AS259)</f>
        <v>0</v>
      </c>
      <c r="AD259" s="68"/>
      <c r="AE259" s="68"/>
      <c r="AF259" s="68"/>
      <c r="AG259" s="69">
        <f t="shared" si="125"/>
        <v>0</v>
      </c>
      <c r="AH259" s="80">
        <f>IF(AC259&gt;0,Masts!$C$14/3,0)</f>
        <v>0</v>
      </c>
      <c r="AI259" s="81">
        <f>IF(AC259&gt;0,Masts!$C$15/3,0)</f>
        <v>0</v>
      </c>
      <c r="AJ259" s="85">
        <f t="shared" si="126"/>
        <v>0</v>
      </c>
      <c r="AK259" s="83">
        <f>IF(AC259&gt;0,Masts!$C$10/3,0)</f>
        <v>0</v>
      </c>
      <c r="AL259" s="84">
        <f>IF(AC259&gt;0,Masts!$C$11/3,0)</f>
        <v>0</v>
      </c>
      <c r="AM259" s="85">
        <f t="shared" si="136"/>
        <v>0</v>
      </c>
      <c r="AN259" s="86">
        <f t="shared" si="123"/>
        <v>0</v>
      </c>
      <c r="AO259" s="87">
        <f t="shared" si="138"/>
        <v>0</v>
      </c>
      <c r="AP259" s="68"/>
      <c r="AQ259" s="68"/>
      <c r="AR259" s="54"/>
      <c r="AS259" s="56">
        <f>'Ship Data Metric'!E124*0.03280839895</f>
        <v>0</v>
      </c>
      <c r="AT259" s="54"/>
      <c r="AU259" s="54"/>
      <c r="AV259" s="54"/>
      <c r="AW259" s="54"/>
      <c r="AX259" s="54"/>
      <c r="AY259" s="54"/>
    </row>
    <row r="260" ht="15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158"/>
      <c r="AB260" s="158" t="s">
        <v>26</v>
      </c>
      <c r="AC260" s="56">
        <f>IF('Ship Data Imperial'!E125&gt;0,'Ship Data Imperial'!E125,AS260)</f>
        <v>0</v>
      </c>
      <c r="AD260" s="68"/>
      <c r="AE260" s="68"/>
      <c r="AF260" s="68"/>
      <c r="AG260" s="69">
        <f t="shared" si="125"/>
        <v>0</v>
      </c>
      <c r="AH260" s="80">
        <f>IF(AC260&gt;0,Masts!$C$14/3,0)</f>
        <v>0</v>
      </c>
      <c r="AI260" s="81">
        <f>IF(AC260&gt;0,Masts!$C$15/3,0)</f>
        <v>0</v>
      </c>
      <c r="AJ260" s="85">
        <f t="shared" si="126"/>
        <v>0</v>
      </c>
      <c r="AK260" s="83">
        <f>IF(AC260&gt;0,Masts!$C$10/3,0)</f>
        <v>0</v>
      </c>
      <c r="AL260" s="84">
        <f>IF(AC260&gt;0,Masts!$C$11/3,0)</f>
        <v>0</v>
      </c>
      <c r="AM260" s="85">
        <f t="shared" si="136"/>
        <v>0</v>
      </c>
      <c r="AN260" s="86">
        <f t="shared" si="123"/>
        <v>0</v>
      </c>
      <c r="AO260" s="87">
        <f t="shared" si="138"/>
        <v>0</v>
      </c>
      <c r="AP260" s="68"/>
      <c r="AQ260" s="68"/>
      <c r="AR260" s="54"/>
      <c r="AS260" s="56">
        <f>'Ship Data Metric'!E125*0.03280839895</f>
        <v>0</v>
      </c>
      <c r="AT260" s="54"/>
      <c r="AU260" s="54"/>
      <c r="AV260" s="54"/>
      <c r="AW260" s="54"/>
      <c r="AX260" s="54"/>
      <c r="AY260" s="54"/>
    </row>
    <row r="261" ht="15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158"/>
      <c r="AB261" s="158" t="s">
        <v>27</v>
      </c>
      <c r="AC261" s="56">
        <f>IF('Ship Data Imperial'!E126&gt;0,'Ship Data Imperial'!E126,AS261)</f>
        <v>0</v>
      </c>
      <c r="AD261" s="68"/>
      <c r="AE261" s="68"/>
      <c r="AF261" s="68"/>
      <c r="AG261" s="69">
        <f t="shared" si="125"/>
        <v>0</v>
      </c>
      <c r="AH261" s="80">
        <f>IF(AC261&gt;0,Masts!$C$14/3,0)</f>
        <v>0</v>
      </c>
      <c r="AI261" s="81">
        <f>IF(AC261&gt;0,Masts!$C$15/3,0)</f>
        <v>0</v>
      </c>
      <c r="AJ261" s="85">
        <f t="shared" si="126"/>
        <v>0</v>
      </c>
      <c r="AK261" s="83">
        <f>IF(AC261&gt;0,Masts!$C$10/3,0)</f>
        <v>0</v>
      </c>
      <c r="AL261" s="84">
        <f>IF(AC261&gt;0,Masts!$C$11/3,0)</f>
        <v>0</v>
      </c>
      <c r="AM261" s="85">
        <f t="shared" si="136"/>
        <v>0</v>
      </c>
      <c r="AN261" s="86">
        <f t="shared" si="123"/>
        <v>0</v>
      </c>
      <c r="AO261" s="87">
        <f t="shared" si="138"/>
        <v>0</v>
      </c>
      <c r="AP261" s="68"/>
      <c r="AQ261" s="68"/>
      <c r="AR261" s="54"/>
      <c r="AS261" s="56">
        <f>'Ship Data Metric'!E126*0.03280839895</f>
        <v>0</v>
      </c>
      <c r="AT261" s="54"/>
      <c r="AU261" s="54"/>
      <c r="AV261" s="54"/>
      <c r="AW261" s="54"/>
      <c r="AX261" s="54"/>
      <c r="AY261" s="54"/>
    </row>
    <row r="262" ht="15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158"/>
      <c r="AB262" s="158" t="s">
        <v>28</v>
      </c>
      <c r="AC262" s="56">
        <f>IF('Ship Data Imperial'!E127&gt;0,'Ship Data Imperial'!E127,AS262)</f>
        <v>0</v>
      </c>
      <c r="AD262" s="68"/>
      <c r="AE262" s="68"/>
      <c r="AF262" s="68"/>
      <c r="AG262" s="69">
        <f t="shared" si="125"/>
        <v>0</v>
      </c>
      <c r="AH262" s="80">
        <f>IF(AC262&gt;0,Masts!$C$14/3,0)</f>
        <v>0</v>
      </c>
      <c r="AI262" s="81">
        <f>IF(AC262&gt;0,Masts!$C$15/3,0)</f>
        <v>0</v>
      </c>
      <c r="AJ262" s="85">
        <f t="shared" si="126"/>
        <v>0</v>
      </c>
      <c r="AK262" s="83">
        <f>IF(AC262&gt;0,Masts!$C$10/3,0)</f>
        <v>0</v>
      </c>
      <c r="AL262" s="84">
        <f>IF(AC262&gt;0,Masts!$C$11/3,0)</f>
        <v>0</v>
      </c>
      <c r="AM262" s="85">
        <f t="shared" si="136"/>
        <v>0</v>
      </c>
      <c r="AN262" s="86">
        <f t="shared" si="123"/>
        <v>0</v>
      </c>
      <c r="AO262" s="87">
        <f t="shared" si="138"/>
        <v>0</v>
      </c>
      <c r="AP262" s="68"/>
      <c r="AQ262" s="68"/>
      <c r="AR262" s="54"/>
      <c r="AS262" s="56">
        <f>'Ship Data Metric'!E127*0.03280839895</f>
        <v>0</v>
      </c>
      <c r="AT262" s="54"/>
      <c r="AU262" s="54"/>
      <c r="AV262" s="54"/>
      <c r="AW262" s="54"/>
      <c r="AX262" s="54"/>
      <c r="AY262" s="54"/>
    </row>
    <row r="263" ht="15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158"/>
      <c r="AB263" s="158" t="s">
        <v>29</v>
      </c>
      <c r="AC263" s="56">
        <f>IF('Ship Data Imperial'!E128&gt;0,'Ship Data Imperial'!E128,AS263)</f>
        <v>0</v>
      </c>
      <c r="AD263" s="68"/>
      <c r="AE263" s="68"/>
      <c r="AF263" s="68"/>
      <c r="AG263" s="69">
        <f t="shared" si="125"/>
        <v>0</v>
      </c>
      <c r="AH263" s="80">
        <f>IF(AC263&gt;0,Masts!$C$14/3,0)</f>
        <v>0</v>
      </c>
      <c r="AI263" s="81">
        <f>IF(AC263&gt;0,Masts!$C$15/3,0)</f>
        <v>0</v>
      </c>
      <c r="AJ263" s="85">
        <f t="shared" si="126"/>
        <v>0</v>
      </c>
      <c r="AK263" s="83">
        <f>IF(AC263&gt;0,Masts!$C$10/3,0)</f>
        <v>0</v>
      </c>
      <c r="AL263" s="84">
        <f>IF(AC263&gt;0,Masts!$C$11/3,0)</f>
        <v>0</v>
      </c>
      <c r="AM263" s="85">
        <f t="shared" si="136"/>
        <v>0</v>
      </c>
      <c r="AN263" s="86">
        <f t="shared" si="123"/>
        <v>0</v>
      </c>
      <c r="AO263" s="87">
        <f t="shared" si="138"/>
        <v>0</v>
      </c>
      <c r="AP263" s="68"/>
      <c r="AQ263" s="68"/>
      <c r="AR263" s="54"/>
      <c r="AS263" s="56">
        <f>'Ship Data Metric'!E128*0.03280839895</f>
        <v>0</v>
      </c>
      <c r="AT263" s="54"/>
      <c r="AU263" s="54"/>
      <c r="AV263" s="54"/>
      <c r="AW263" s="54"/>
      <c r="AX263" s="54"/>
      <c r="AY263" s="54"/>
    </row>
    <row r="264" ht="15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158"/>
      <c r="AB264" s="158" t="s">
        <v>51</v>
      </c>
      <c r="AC264" s="56">
        <f>IF('Ship Data Imperial'!E129&gt;0,'Ship Data Imperial'!E129,AS264)</f>
        <v>0</v>
      </c>
      <c r="AD264" s="68"/>
      <c r="AE264" s="68"/>
      <c r="AF264" s="68"/>
      <c r="AG264" s="69">
        <f t="shared" si="125"/>
        <v>0</v>
      </c>
      <c r="AH264" s="80">
        <f>IF(AC264&gt;0,Masts!$C$14/3,0)</f>
        <v>0</v>
      </c>
      <c r="AI264" s="81">
        <f>IF(AC264&gt;0,Masts!$C$15/3,0)</f>
        <v>0</v>
      </c>
      <c r="AJ264" s="85">
        <f t="shared" si="126"/>
        <v>0</v>
      </c>
      <c r="AK264" s="83">
        <f>IF(AC264&gt;0,Masts!$C$10/3,0)</f>
        <v>0</v>
      </c>
      <c r="AL264" s="84">
        <f>IF(AC264&gt;0,Masts!$C$11/3,0)</f>
        <v>0</v>
      </c>
      <c r="AM264" s="85">
        <f t="shared" si="136"/>
        <v>0</v>
      </c>
      <c r="AN264" s="86">
        <f t="shared" si="123"/>
        <v>0</v>
      </c>
      <c r="AO264" s="87">
        <f t="shared" si="138"/>
        <v>0</v>
      </c>
      <c r="AP264" s="68"/>
      <c r="AQ264" s="68"/>
      <c r="AR264" s="54"/>
      <c r="AS264" s="56">
        <f>'Ship Data Metric'!E129*0.03280839895</f>
        <v>0</v>
      </c>
      <c r="AT264" s="54"/>
      <c r="AU264" s="54"/>
      <c r="AV264" s="54"/>
      <c r="AW264" s="54"/>
      <c r="AX264" s="54"/>
      <c r="AY264" s="54"/>
    </row>
    <row r="265" ht="15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158" t="s">
        <v>58</v>
      </c>
      <c r="AB265" s="158" t="s">
        <v>24</v>
      </c>
      <c r="AC265" s="56">
        <f>IF('Ship Data Imperial'!E130&gt;0,'Ship Data Imperial'!E130,AS265)</f>
        <v>0</v>
      </c>
      <c r="AD265" s="68"/>
      <c r="AE265" s="68"/>
      <c r="AF265" s="68"/>
      <c r="AG265" s="69">
        <f t="shared" si="125"/>
        <v>0</v>
      </c>
      <c r="AH265" s="80">
        <f>IF(AC265&gt;0,Masts!$C$14/3,0)</f>
        <v>0</v>
      </c>
      <c r="AI265" s="81">
        <f>IF(AC265&gt;0,Masts!$C$15/3,0)</f>
        <v>0</v>
      </c>
      <c r="AJ265" s="85">
        <f t="shared" si="126"/>
        <v>0</v>
      </c>
      <c r="AK265" s="83">
        <f>IF(AC265&gt;0,Masts!$C$10/3,0)</f>
        <v>0</v>
      </c>
      <c r="AL265" s="84">
        <f>IF(AC265&gt;0,Masts!$C$11/3,0)</f>
        <v>0</v>
      </c>
      <c r="AM265" s="85">
        <f t="shared" si="136"/>
        <v>0</v>
      </c>
      <c r="AN265" s="86">
        <f t="shared" si="123"/>
        <v>0</v>
      </c>
      <c r="AO265" s="87">
        <f t="shared" si="138"/>
        <v>0</v>
      </c>
      <c r="AP265" s="68"/>
      <c r="AQ265" s="68"/>
      <c r="AR265" s="54"/>
      <c r="AS265" s="56">
        <f>'Ship Data Metric'!E130*0.03280839895</f>
        <v>0</v>
      </c>
      <c r="AT265" s="54"/>
      <c r="AU265" s="54"/>
      <c r="AV265" s="54"/>
      <c r="AW265" s="54"/>
      <c r="AX265" s="54"/>
      <c r="AY265" s="54"/>
    </row>
    <row r="266" ht="15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158"/>
      <c r="AB266" s="158" t="s">
        <v>25</v>
      </c>
      <c r="AC266" s="56">
        <f>IF('Ship Data Imperial'!E131&gt;0,'Ship Data Imperial'!E131,AS266)</f>
        <v>0</v>
      </c>
      <c r="AD266" s="68"/>
      <c r="AE266" s="68"/>
      <c r="AF266" s="68"/>
      <c r="AG266" s="69">
        <f t="shared" si="125"/>
        <v>0</v>
      </c>
      <c r="AH266" s="80">
        <f>IF(AC266&gt;0,Masts!$C$14/3,0)</f>
        <v>0</v>
      </c>
      <c r="AI266" s="81">
        <f>IF(AC266&gt;0,Masts!$C$15/3,0)</f>
        <v>0</v>
      </c>
      <c r="AJ266" s="85">
        <f t="shared" si="126"/>
        <v>0</v>
      </c>
      <c r="AK266" s="83">
        <f>IF(AC266&gt;0,Masts!$C$10/3,0)</f>
        <v>0</v>
      </c>
      <c r="AL266" s="84">
        <f>IF(AC266&gt;0,Masts!$C$11/3,0)</f>
        <v>0</v>
      </c>
      <c r="AM266" s="85">
        <f t="shared" si="136"/>
        <v>0</v>
      </c>
      <c r="AN266" s="86">
        <f t="shared" si="123"/>
        <v>0</v>
      </c>
      <c r="AO266" s="87">
        <f t="shared" si="138"/>
        <v>0</v>
      </c>
      <c r="AP266" s="68"/>
      <c r="AQ266" s="68"/>
      <c r="AR266" s="54"/>
      <c r="AS266" s="56">
        <f>'Ship Data Metric'!E131*0.03280839895</f>
        <v>0</v>
      </c>
      <c r="AT266" s="54"/>
      <c r="AU266" s="54"/>
      <c r="AV266" s="54"/>
      <c r="AW266" s="54"/>
      <c r="AX266" s="54"/>
      <c r="AY266" s="54"/>
    </row>
    <row r="267" ht="15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158"/>
      <c r="AB267" s="158" t="s">
        <v>26</v>
      </c>
      <c r="AC267" s="56">
        <f>IF('Ship Data Imperial'!E132&gt;0,'Ship Data Imperial'!E132,AS267)</f>
        <v>0</v>
      </c>
      <c r="AD267" s="68"/>
      <c r="AE267" s="68"/>
      <c r="AF267" s="68"/>
      <c r="AG267" s="69">
        <f t="shared" si="125"/>
        <v>0</v>
      </c>
      <c r="AH267" s="80">
        <f>IF(AC267&gt;0,Masts!$C$14/3,0)</f>
        <v>0</v>
      </c>
      <c r="AI267" s="81">
        <f>IF(AC267&gt;0,Masts!$C$15/3,0)</f>
        <v>0</v>
      </c>
      <c r="AJ267" s="85">
        <f t="shared" si="126"/>
        <v>0</v>
      </c>
      <c r="AK267" s="83">
        <f>IF(AC267&gt;0,Masts!$C$10/3,0)</f>
        <v>0</v>
      </c>
      <c r="AL267" s="84">
        <f>IF(AC267&gt;0,Masts!$C$11/3,0)</f>
        <v>0</v>
      </c>
      <c r="AM267" s="85">
        <f t="shared" si="136"/>
        <v>0</v>
      </c>
      <c r="AN267" s="86">
        <f t="shared" si="123"/>
        <v>0</v>
      </c>
      <c r="AO267" s="87">
        <f t="shared" si="138"/>
        <v>0</v>
      </c>
      <c r="AP267" s="68"/>
      <c r="AQ267" s="68"/>
      <c r="AR267" s="54"/>
      <c r="AS267" s="56">
        <f>'Ship Data Metric'!E132*0.03280839895</f>
        <v>0</v>
      </c>
      <c r="AT267" s="54"/>
      <c r="AU267" s="54"/>
      <c r="AV267" s="54"/>
      <c r="AW267" s="54"/>
      <c r="AX267" s="54"/>
      <c r="AY267" s="54"/>
    </row>
    <row r="268" ht="15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158"/>
      <c r="AB268" s="158" t="s">
        <v>27</v>
      </c>
      <c r="AC268" s="56">
        <f>IF('Ship Data Imperial'!E133&gt;0,'Ship Data Imperial'!E133,AS268)</f>
        <v>0</v>
      </c>
      <c r="AD268" s="68"/>
      <c r="AE268" s="68"/>
      <c r="AF268" s="68"/>
      <c r="AG268" s="69">
        <f t="shared" si="125"/>
        <v>0</v>
      </c>
      <c r="AH268" s="80">
        <f>IF(AC268&gt;0,Masts!$C$14/3,0)</f>
        <v>0</v>
      </c>
      <c r="AI268" s="81">
        <f>IF(AC268&gt;0,Masts!$C$15/3,0)</f>
        <v>0</v>
      </c>
      <c r="AJ268" s="85">
        <f t="shared" si="126"/>
        <v>0</v>
      </c>
      <c r="AK268" s="83">
        <f>IF(AC268&gt;0,Masts!$C$10/3,0)</f>
        <v>0</v>
      </c>
      <c r="AL268" s="84">
        <f>IF(AC268&gt;0,Masts!$C$11/3,0)</f>
        <v>0</v>
      </c>
      <c r="AM268" s="85">
        <f t="shared" si="136"/>
        <v>0</v>
      </c>
      <c r="AN268" s="86">
        <f t="shared" si="123"/>
        <v>0</v>
      </c>
      <c r="AO268" s="87">
        <f t="shared" si="138"/>
        <v>0</v>
      </c>
      <c r="AP268" s="68"/>
      <c r="AQ268" s="68"/>
      <c r="AR268" s="54"/>
      <c r="AS268" s="56">
        <f>'Ship Data Metric'!E133*0.03280839895</f>
        <v>0</v>
      </c>
      <c r="AT268" s="54"/>
      <c r="AU268" s="54"/>
      <c r="AV268" s="54"/>
      <c r="AW268" s="54"/>
      <c r="AX268" s="54"/>
      <c r="AY268" s="54"/>
    </row>
    <row r="269" ht="15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158"/>
      <c r="AB269" s="158" t="s">
        <v>28</v>
      </c>
      <c r="AC269" s="56">
        <f>IF('Ship Data Imperial'!E134&gt;0,'Ship Data Imperial'!E134,AS269)</f>
        <v>0</v>
      </c>
      <c r="AD269" s="68"/>
      <c r="AE269" s="68"/>
      <c r="AF269" s="68"/>
      <c r="AG269" s="69">
        <f t="shared" si="125"/>
        <v>0</v>
      </c>
      <c r="AH269" s="80">
        <f>IF(AC269&gt;0,Masts!$C$14/3,0)</f>
        <v>0</v>
      </c>
      <c r="AI269" s="81">
        <f>IF(AC269&gt;0,Masts!$C$15/3,0)</f>
        <v>0</v>
      </c>
      <c r="AJ269" s="85">
        <f t="shared" si="126"/>
        <v>0</v>
      </c>
      <c r="AK269" s="83">
        <f>IF(AC269&gt;0,Masts!$C$10/3,0)</f>
        <v>0</v>
      </c>
      <c r="AL269" s="84">
        <f>IF(AC269&gt;0,Masts!$C$11/3,0)</f>
        <v>0</v>
      </c>
      <c r="AM269" s="85">
        <f t="shared" si="136"/>
        <v>0</v>
      </c>
      <c r="AN269" s="86">
        <f t="shared" si="123"/>
        <v>0</v>
      </c>
      <c r="AO269" s="87">
        <f t="shared" si="138"/>
        <v>0</v>
      </c>
      <c r="AP269" s="68"/>
      <c r="AQ269" s="68"/>
      <c r="AR269" s="54"/>
      <c r="AS269" s="56">
        <f>'Ship Data Metric'!E134*0.03280839895</f>
        <v>0</v>
      </c>
      <c r="AT269" s="54"/>
      <c r="AU269" s="54"/>
      <c r="AV269" s="54"/>
      <c r="AW269" s="54"/>
      <c r="AX269" s="54"/>
      <c r="AY269" s="54"/>
    </row>
    <row r="270" ht="15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158"/>
      <c r="AB270" s="158" t="s">
        <v>29</v>
      </c>
      <c r="AC270" s="56">
        <f>IF('Ship Data Imperial'!E135&gt;0,'Ship Data Imperial'!E135,AS270)</f>
        <v>0</v>
      </c>
      <c r="AD270" s="68"/>
      <c r="AE270" s="68"/>
      <c r="AF270" s="68"/>
      <c r="AG270" s="69">
        <f t="shared" si="125"/>
        <v>0</v>
      </c>
      <c r="AH270" s="80">
        <f>IF(AC270&gt;0,Masts!$C$14/3,0)</f>
        <v>0</v>
      </c>
      <c r="AI270" s="81">
        <f>IF(AC270&gt;0,Masts!$C$15/3,0)</f>
        <v>0</v>
      </c>
      <c r="AJ270" s="85">
        <f t="shared" si="126"/>
        <v>0</v>
      </c>
      <c r="AK270" s="83">
        <f>IF(AC270&gt;0,Masts!$C$10/3,0)</f>
        <v>0</v>
      </c>
      <c r="AL270" s="84">
        <f>IF(AC270&gt;0,Masts!$C$11/3,0)</f>
        <v>0</v>
      </c>
      <c r="AM270" s="85">
        <f t="shared" si="136"/>
        <v>0</v>
      </c>
      <c r="AN270" s="86">
        <f t="shared" si="123"/>
        <v>0</v>
      </c>
      <c r="AO270" s="87">
        <f t="shared" si="138"/>
        <v>0</v>
      </c>
      <c r="AP270" s="68"/>
      <c r="AQ270" s="68"/>
      <c r="AR270" s="54"/>
      <c r="AS270" s="56">
        <f>'Ship Data Metric'!E135*0.03280839895</f>
        <v>0</v>
      </c>
      <c r="AT270" s="54"/>
      <c r="AU270" s="54"/>
      <c r="AV270" s="54"/>
      <c r="AW270" s="54"/>
      <c r="AX270" s="54"/>
      <c r="AY270" s="54"/>
    </row>
    <row r="271" ht="15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158"/>
      <c r="AB271" s="158" t="s">
        <v>51</v>
      </c>
      <c r="AC271" s="56">
        <f>IF('Ship Data Imperial'!E136&gt;0,'Ship Data Imperial'!E136,AS271)</f>
        <v>0</v>
      </c>
      <c r="AD271" s="68"/>
      <c r="AE271" s="68"/>
      <c r="AF271" s="68"/>
      <c r="AG271" s="69">
        <f t="shared" si="125"/>
        <v>0</v>
      </c>
      <c r="AH271" s="80">
        <f>IF(AC271&gt;0,Masts!$C$14/3,0)</f>
        <v>0</v>
      </c>
      <c r="AI271" s="81">
        <f>IF(AC271&gt;0,Masts!$C$15/3,0)</f>
        <v>0</v>
      </c>
      <c r="AJ271" s="85">
        <f t="shared" si="126"/>
        <v>0</v>
      </c>
      <c r="AK271" s="83">
        <f>IF(AC271&gt;0,Masts!$C$10/3,0)</f>
        <v>0</v>
      </c>
      <c r="AL271" s="84">
        <f>IF(AC271&gt;0,Masts!$C$11/3,0)</f>
        <v>0</v>
      </c>
      <c r="AM271" s="85">
        <f t="shared" si="136"/>
        <v>0</v>
      </c>
      <c r="AN271" s="86">
        <f t="shared" si="123"/>
        <v>0</v>
      </c>
      <c r="AO271" s="87">
        <f t="shared" si="138"/>
        <v>0</v>
      </c>
      <c r="AP271" s="68"/>
      <c r="AQ271" s="68"/>
      <c r="AR271" s="54"/>
      <c r="AS271" s="56">
        <f>'Ship Data Metric'!E136*0.03280839895</f>
        <v>0</v>
      </c>
      <c r="AT271" s="54"/>
      <c r="AU271" s="54"/>
      <c r="AV271" s="54"/>
      <c r="AW271" s="54"/>
      <c r="AX271" s="54"/>
      <c r="AY271" s="54"/>
    </row>
    <row r="272" ht="15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68"/>
      <c r="AB272" s="68"/>
      <c r="AC272" s="68"/>
      <c r="AD272" s="68"/>
      <c r="AE272" s="68"/>
      <c r="AF272" s="68"/>
      <c r="AG272" s="77">
        <f t="shared" ref="AG272:AO272" si="139">SUM(AG138:AG257)</f>
        <v>13.09667542</v>
      </c>
      <c r="AH272" s="77">
        <f t="shared" si="139"/>
        <v>7.858005249</v>
      </c>
      <c r="AI272" s="77">
        <f t="shared" si="139"/>
        <v>6.548337708</v>
      </c>
      <c r="AJ272" s="77">
        <f t="shared" si="139"/>
        <v>11.78700787</v>
      </c>
      <c r="AK272" s="77">
        <f t="shared" si="139"/>
        <v>7.072204724</v>
      </c>
      <c r="AL272" s="77">
        <f t="shared" si="139"/>
        <v>5.893503937</v>
      </c>
      <c r="AM272" s="77">
        <f t="shared" si="139"/>
        <v>7.414027953</v>
      </c>
      <c r="AN272" s="77">
        <f t="shared" si="139"/>
        <v>3.850422572</v>
      </c>
      <c r="AO272" s="77">
        <f t="shared" si="139"/>
        <v>9.602482415</v>
      </c>
      <c r="AP272" s="68"/>
      <c r="AQ272" s="68"/>
      <c r="AR272" s="54"/>
      <c r="AS272" s="68"/>
      <c r="AT272" s="54"/>
      <c r="AU272" s="54"/>
      <c r="AV272" s="54"/>
      <c r="AW272" s="54"/>
      <c r="AX272" s="54"/>
      <c r="AY272" s="54"/>
    </row>
    <row r="273" ht="15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54"/>
      <c r="AS273" s="68"/>
      <c r="AT273" s="54"/>
      <c r="AU273" s="54"/>
      <c r="AV273" s="54"/>
      <c r="AW273" s="54"/>
      <c r="AX273" s="54"/>
      <c r="AY273" s="54"/>
    </row>
    <row r="274" ht="15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54"/>
      <c r="AS274" s="68"/>
      <c r="AT274" s="54"/>
      <c r="AU274" s="54"/>
      <c r="AV274" s="54"/>
      <c r="AW274" s="54"/>
      <c r="AX274" s="54"/>
      <c r="AY274" s="54"/>
    </row>
    <row r="275" ht="15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</row>
    <row r="276" ht="15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</row>
    <row r="277" ht="15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</row>
    <row r="278" ht="15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</row>
    <row r="279" ht="15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</row>
    <row r="280" ht="15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</row>
    <row r="281" ht="15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</row>
    <row r="282" ht="15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</row>
    <row r="283" ht="15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</row>
    <row r="284" ht="15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</row>
    <row r="285" ht="15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</row>
    <row r="286" ht="15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</row>
    <row r="287" ht="15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</row>
    <row r="288" ht="15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</row>
    <row r="289" ht="15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</row>
    <row r="290" ht="15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</row>
    <row r="291" ht="15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</row>
    <row r="292" ht="15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</row>
    <row r="293" ht="15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</row>
    <row r="294" ht="15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</row>
    <row r="295" ht="15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</row>
    <row r="296" ht="15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</row>
    <row r="297" ht="15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</row>
    <row r="298" ht="15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</row>
    <row r="299" ht="15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</row>
    <row r="300" ht="15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</row>
    <row r="301" ht="15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</row>
    <row r="302" ht="15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</row>
    <row r="303" ht="15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</row>
    <row r="304" ht="15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</row>
    <row r="305" ht="15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</row>
    <row r="306" ht="15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</row>
    <row r="307" ht="15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</row>
    <row r="308" ht="15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</row>
    <row r="309" ht="15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</row>
    <row r="310" ht="15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</row>
    <row r="311" ht="15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</row>
    <row r="312" ht="15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</row>
    <row r="313" ht="15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</row>
    <row r="314" ht="15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</row>
    <row r="315" ht="15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</row>
    <row r="316" ht="15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</row>
    <row r="317" ht="15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</row>
    <row r="318" ht="15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</row>
    <row r="319" ht="15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</row>
    <row r="320" ht="15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</row>
    <row r="321" ht="15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</row>
    <row r="322" ht="15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</row>
    <row r="323" ht="15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</row>
    <row r="324" ht="15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</row>
    <row r="325" ht="15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</row>
    <row r="326" ht="15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</row>
    <row r="327" ht="15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</row>
    <row r="328" ht="15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</row>
    <row r="329" ht="15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</row>
    <row r="330" ht="15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</row>
    <row r="331" ht="15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</row>
    <row r="332" ht="15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</row>
    <row r="333" ht="15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</row>
    <row r="334" ht="15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</row>
    <row r="335" ht="15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</row>
    <row r="336" ht="15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</row>
    <row r="337" ht="15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</row>
    <row r="338" ht="15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</row>
    <row r="339" ht="15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</row>
    <row r="340" ht="15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</row>
    <row r="341" ht="15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</row>
    <row r="342" ht="15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</row>
    <row r="343" ht="15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</row>
    <row r="344" ht="15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</row>
    <row r="345" ht="15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</row>
    <row r="346" ht="15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</row>
    <row r="347" ht="15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</row>
    <row r="348" ht="15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</row>
    <row r="349" ht="15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</row>
    <row r="350" ht="15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</row>
    <row r="351" ht="15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</row>
    <row r="352" ht="15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</row>
    <row r="353" ht="15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</row>
    <row r="354" ht="15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</row>
    <row r="355" ht="15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</row>
    <row r="356" ht="15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</row>
    <row r="357" ht="15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</row>
    <row r="358" ht="15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</row>
    <row r="359" ht="15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</row>
    <row r="360" ht="15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</row>
    <row r="361" ht="15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</row>
    <row r="362" ht="15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</row>
    <row r="363" ht="15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</row>
    <row r="364" ht="15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</row>
    <row r="365" ht="15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</row>
    <row r="366" ht="15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</row>
    <row r="367" ht="15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</row>
    <row r="368" ht="15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</row>
    <row r="369" ht="15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</row>
    <row r="370" ht="15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</row>
    <row r="371" ht="15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</row>
    <row r="372" ht="15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</row>
    <row r="373" ht="15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</row>
    <row r="374" ht="15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</row>
    <row r="375" ht="15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</row>
    <row r="376" ht="15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</row>
    <row r="377" ht="15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</row>
    <row r="378" ht="15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</row>
    <row r="379" ht="15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</row>
    <row r="380" ht="15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</row>
    <row r="381" ht="15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</row>
    <row r="382" ht="15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</row>
    <row r="383" ht="15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</row>
    <row r="384" ht="15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</row>
    <row r="385" ht="15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</row>
    <row r="386" ht="15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</row>
    <row r="387" ht="15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</row>
    <row r="388" ht="15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</row>
    <row r="389" ht="15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</row>
    <row r="390" ht="15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</row>
    <row r="391" ht="15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</row>
    <row r="392" ht="15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</row>
    <row r="393" ht="15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</row>
    <row r="394" ht="15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</row>
    <row r="395" ht="15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</row>
    <row r="396" ht="15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</row>
    <row r="397" ht="15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</row>
    <row r="398" ht="15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</row>
    <row r="399" ht="15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</row>
    <row r="400" ht="15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</row>
    <row r="401" ht="15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</row>
    <row r="402" ht="15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</row>
    <row r="403" ht="15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</row>
    <row r="404" ht="15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</row>
    <row r="405" ht="15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</row>
    <row r="406" ht="15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</row>
    <row r="407" ht="15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</row>
    <row r="408" ht="15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</row>
    <row r="409" ht="15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</row>
    <row r="410" ht="15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</row>
    <row r="411" ht="15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</row>
    <row r="412" ht="15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</row>
    <row r="413" ht="15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</row>
    <row r="414" ht="15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</row>
    <row r="415" ht="15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</row>
    <row r="416" ht="15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</row>
    <row r="417" ht="15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</row>
    <row r="418" ht="15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</row>
    <row r="419" ht="15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</row>
    <row r="420" ht="15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</row>
    <row r="421" ht="15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</row>
    <row r="422" ht="15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</row>
    <row r="423" ht="15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</row>
    <row r="424" ht="15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</row>
    <row r="425" ht="15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</row>
    <row r="426" ht="15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</row>
    <row r="427" ht="15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</row>
    <row r="428" ht="15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</row>
    <row r="429" ht="15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</row>
    <row r="430" ht="15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</row>
    <row r="431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</row>
    <row r="432" ht="15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</row>
    <row r="433" ht="15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</row>
    <row r="434" ht="15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</row>
    <row r="435" ht="15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</row>
    <row r="436" ht="15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</row>
    <row r="437" ht="15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</row>
    <row r="438" ht="15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</row>
    <row r="439" ht="15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</row>
    <row r="440" ht="15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</row>
    <row r="441" ht="15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</row>
    <row r="442" ht="15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</row>
    <row r="443" ht="15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</row>
    <row r="444" ht="15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</row>
    <row r="445" ht="15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</row>
    <row r="446" ht="15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</row>
    <row r="447" ht="15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</row>
    <row r="448" ht="15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</row>
    <row r="449" ht="15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</row>
    <row r="450" ht="15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</row>
    <row r="451" ht="15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</row>
    <row r="452" ht="15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</row>
    <row r="453" ht="15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</row>
    <row r="454" ht="15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</row>
    <row r="455" ht="15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</row>
    <row r="456" ht="15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</row>
    <row r="457" ht="15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</row>
    <row r="458" ht="15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</row>
    <row r="459" ht="15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</row>
    <row r="460" ht="15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</row>
    <row r="461" ht="15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</row>
    <row r="462" ht="15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</row>
    <row r="463" ht="15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</row>
    <row r="464" ht="15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</row>
    <row r="465" ht="15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</row>
    <row r="466" ht="15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</row>
    <row r="467" ht="15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</row>
    <row r="468" ht="15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</row>
    <row r="469" ht="15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</row>
    <row r="470" ht="15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</row>
    <row r="471" ht="15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</row>
    <row r="472" ht="15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</row>
    <row r="473" ht="15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</row>
    <row r="474" ht="15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</row>
    <row r="475" ht="15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</row>
    <row r="476" ht="15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</row>
    <row r="477" ht="15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</row>
    <row r="478" ht="15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</row>
    <row r="479" ht="15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</row>
    <row r="480" ht="15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</row>
    <row r="481" ht="15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</row>
    <row r="482" ht="15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</row>
    <row r="483" ht="15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</row>
    <row r="484" ht="15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</row>
    <row r="485" ht="15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</row>
    <row r="486" ht="15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</row>
    <row r="487" ht="15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</row>
    <row r="488" ht="15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</row>
    <row r="489" ht="15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</row>
    <row r="490" ht="15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</row>
    <row r="491" ht="15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</row>
    <row r="492" ht="15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</row>
    <row r="493" ht="15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</row>
    <row r="494" ht="15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</row>
    <row r="495" ht="15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</row>
    <row r="496" ht="15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</row>
    <row r="497" ht="15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</row>
    <row r="498" ht="15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</row>
    <row r="499" ht="15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</row>
    <row r="500" ht="15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</row>
    <row r="501" ht="15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</row>
    <row r="502" ht="15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</row>
    <row r="503" ht="15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</row>
    <row r="504" ht="15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</row>
    <row r="505" ht="15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</row>
    <row r="506" ht="15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</row>
    <row r="507" ht="15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</row>
    <row r="508" ht="15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</row>
    <row r="509" ht="15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</row>
    <row r="510" ht="15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</row>
    <row r="511" ht="15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</row>
    <row r="512" ht="15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</row>
    <row r="513" ht="15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</row>
    <row r="514" ht="15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</row>
    <row r="515" ht="15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</row>
    <row r="516" ht="15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</row>
    <row r="517" ht="15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</row>
    <row r="518" ht="15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</row>
    <row r="519" ht="15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</row>
    <row r="520" ht="15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</row>
    <row r="521" ht="15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</row>
    <row r="522" ht="15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</row>
    <row r="523" ht="15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</row>
    <row r="524" ht="15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</row>
    <row r="525" ht="15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</row>
    <row r="526" ht="15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</row>
    <row r="527" ht="15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</row>
    <row r="528" ht="15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</row>
    <row r="529" ht="15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</row>
    <row r="530" ht="15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</row>
    <row r="531" ht="15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</row>
    <row r="532" ht="15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</row>
    <row r="533" ht="15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</row>
    <row r="534" ht="15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</row>
    <row r="535" ht="15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</row>
    <row r="536" ht="15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</row>
    <row r="537" ht="15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</row>
    <row r="538" ht="15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</row>
    <row r="539" ht="15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</row>
    <row r="540" ht="15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</row>
    <row r="541" ht="15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</row>
    <row r="542" ht="15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</row>
    <row r="543" ht="15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</row>
    <row r="544" ht="15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</row>
    <row r="545" ht="15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</row>
    <row r="546" ht="15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</row>
    <row r="547" ht="15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</row>
    <row r="548" ht="15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</row>
    <row r="549" ht="15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</row>
    <row r="550" ht="15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</row>
    <row r="551" ht="15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</row>
    <row r="552" ht="15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</row>
    <row r="553" ht="15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</row>
    <row r="554" ht="15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</row>
    <row r="555" ht="15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</row>
    <row r="556" ht="15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</row>
    <row r="557" ht="15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</row>
    <row r="558" ht="15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</row>
    <row r="559" ht="15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</row>
    <row r="560" ht="15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</row>
    <row r="561" ht="15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</row>
    <row r="562" ht="15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</row>
    <row r="563" ht="15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</row>
    <row r="564" ht="15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</row>
    <row r="565" ht="15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</row>
    <row r="566" ht="15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</row>
    <row r="567" ht="15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</row>
    <row r="568" ht="15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</row>
    <row r="569" ht="15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</row>
    <row r="570" ht="15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</row>
    <row r="571" ht="15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</row>
    <row r="572" ht="15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</row>
    <row r="573" ht="15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</row>
    <row r="574" ht="15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</row>
    <row r="575" ht="15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</row>
    <row r="576" ht="15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</row>
    <row r="577" ht="15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</row>
    <row r="578" ht="15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</row>
    <row r="579" ht="15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</row>
    <row r="580" ht="15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</row>
    <row r="581" ht="15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</row>
    <row r="582" ht="15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</row>
    <row r="583" ht="15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</row>
    <row r="584" ht="15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</row>
    <row r="585" ht="15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</row>
    <row r="586" ht="15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</row>
    <row r="587" ht="15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</row>
    <row r="588" ht="15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</row>
    <row r="589" ht="15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</row>
    <row r="590" ht="15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</row>
    <row r="591" ht="15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</row>
    <row r="592" ht="15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</row>
    <row r="593" ht="15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</row>
    <row r="594" ht="15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</row>
    <row r="595" ht="15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</row>
    <row r="596" ht="15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</row>
    <row r="597" ht="15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</row>
    <row r="598" ht="15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</row>
    <row r="599" ht="15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</row>
    <row r="600" ht="15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</row>
    <row r="601" ht="15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</row>
    <row r="602" ht="15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</row>
    <row r="603" ht="15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</row>
    <row r="604" ht="15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</row>
    <row r="605" ht="15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</row>
    <row r="606" ht="15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</row>
    <row r="607" ht="15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</row>
    <row r="608" ht="15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</row>
    <row r="609" ht="15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</row>
    <row r="610" ht="15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</row>
    <row r="611" ht="15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</row>
    <row r="612" ht="15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</row>
    <row r="613" ht="15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</row>
    <row r="614" ht="15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</row>
    <row r="615" ht="15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</row>
    <row r="616" ht="15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</row>
    <row r="617" ht="15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</row>
    <row r="618" ht="15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</row>
    <row r="619" ht="15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</row>
    <row r="620" ht="15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</row>
    <row r="621" ht="15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</row>
    <row r="622" ht="15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</row>
    <row r="623" ht="15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</row>
    <row r="624" ht="15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</row>
    <row r="625" ht="15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</row>
    <row r="626" ht="15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</row>
    <row r="627" ht="15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</row>
    <row r="628" ht="15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</row>
    <row r="629" ht="15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</row>
    <row r="630" ht="15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</row>
    <row r="631" ht="15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</row>
    <row r="632" ht="15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</row>
    <row r="633" ht="15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</row>
    <row r="634" ht="15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</row>
    <row r="635" ht="15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</row>
    <row r="636" ht="15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</row>
    <row r="637" ht="15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</row>
    <row r="638" ht="15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</row>
    <row r="639" ht="15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</row>
    <row r="640" ht="15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</row>
    <row r="641" ht="15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</row>
    <row r="642" ht="15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</row>
    <row r="643" ht="15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</row>
    <row r="644" ht="15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</row>
    <row r="645" ht="15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</row>
    <row r="646" ht="15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</row>
    <row r="647" ht="15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</row>
    <row r="648" ht="15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</row>
    <row r="649" ht="15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</row>
    <row r="650" ht="15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</row>
    <row r="651" ht="15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</row>
    <row r="652" ht="15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</row>
    <row r="653" ht="15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</row>
    <row r="654" ht="15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</row>
    <row r="655" ht="15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</row>
    <row r="656" ht="15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</row>
    <row r="657" ht="15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</row>
    <row r="658" ht="15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</row>
    <row r="659" ht="15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</row>
    <row r="660" ht="15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</row>
    <row r="661" ht="15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</row>
    <row r="662" ht="15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</row>
    <row r="663" ht="15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</row>
    <row r="664" ht="15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</row>
    <row r="665" ht="15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</row>
    <row r="666" ht="15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</row>
    <row r="667" ht="15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</row>
    <row r="668" ht="15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</row>
    <row r="669" ht="15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</row>
    <row r="670" ht="15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</row>
    <row r="671" ht="15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</row>
    <row r="672" ht="15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</row>
    <row r="673" ht="15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</row>
    <row r="674" ht="15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</row>
    <row r="675" ht="15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</row>
    <row r="676" ht="15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</row>
    <row r="677" ht="15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</row>
    <row r="678" ht="15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</row>
    <row r="679" ht="15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</row>
    <row r="680" ht="15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</row>
    <row r="681" ht="15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</row>
    <row r="682" ht="15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</row>
    <row r="683" ht="15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</row>
    <row r="684" ht="15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</row>
    <row r="685" ht="15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</row>
    <row r="686" ht="15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</row>
    <row r="687" ht="15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</row>
    <row r="688" ht="15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</row>
    <row r="689" ht="15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</row>
    <row r="690" ht="15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</row>
    <row r="691" ht="15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</row>
    <row r="692" ht="15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</row>
    <row r="693" ht="15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</row>
    <row r="694" ht="15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</row>
    <row r="695" ht="15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</row>
    <row r="696" ht="15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</row>
    <row r="697" ht="15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</row>
    <row r="698" ht="15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</row>
    <row r="699" ht="15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</row>
    <row r="700" ht="15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</row>
    <row r="701" ht="15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</row>
    <row r="702" ht="15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</row>
    <row r="703" ht="15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</row>
    <row r="704" ht="15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</row>
    <row r="705" ht="15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</row>
    <row r="706" ht="15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</row>
    <row r="707" ht="15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</row>
    <row r="708" ht="15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</row>
    <row r="709" ht="15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</row>
    <row r="710" ht="15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</row>
    <row r="711" ht="15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</row>
    <row r="712" ht="15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</row>
    <row r="713" ht="15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</row>
    <row r="714" ht="15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</row>
    <row r="715" ht="15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</row>
    <row r="716" ht="15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</row>
    <row r="717" ht="15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</row>
    <row r="718" ht="15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</row>
    <row r="719" ht="15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</row>
    <row r="720" ht="15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</row>
    <row r="721" ht="15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</row>
    <row r="722" ht="15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</row>
    <row r="723" ht="15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</row>
    <row r="724" ht="15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</row>
    <row r="725" ht="15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</row>
    <row r="726" ht="15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</row>
    <row r="727" ht="15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</row>
    <row r="728" ht="15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</row>
    <row r="729" ht="15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</row>
    <row r="730" ht="15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</row>
    <row r="731" ht="15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</row>
    <row r="732" ht="15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</row>
    <row r="733" ht="15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</row>
    <row r="734" ht="15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</row>
    <row r="735" ht="15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</row>
    <row r="736" ht="15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</row>
    <row r="737" ht="15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</row>
    <row r="738" ht="15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</row>
    <row r="739" ht="15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</row>
    <row r="740" ht="15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</row>
    <row r="741" ht="15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</row>
    <row r="742" ht="15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</row>
    <row r="743" ht="15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</row>
    <row r="744" ht="15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</row>
    <row r="745" ht="15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</row>
    <row r="746" ht="15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</row>
    <row r="747" ht="15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</row>
    <row r="748" ht="15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</row>
    <row r="749" ht="15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</row>
    <row r="750" ht="15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</row>
    <row r="751" ht="15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</row>
    <row r="752" ht="15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</row>
    <row r="753" ht="15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</row>
    <row r="754" ht="15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</row>
    <row r="755" ht="15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</row>
    <row r="756" ht="15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</row>
    <row r="757" ht="15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</row>
    <row r="758" ht="15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</row>
    <row r="759" ht="15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</row>
    <row r="760" ht="15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</row>
    <row r="761" ht="15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</row>
    <row r="762" ht="15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</row>
    <row r="763" ht="15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</row>
    <row r="764" ht="15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</row>
    <row r="765" ht="15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</row>
    <row r="766" ht="15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</row>
    <row r="767" ht="15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</row>
    <row r="768" ht="15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</row>
    <row r="769" ht="15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</row>
    <row r="770" ht="15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</row>
    <row r="771" ht="15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</row>
    <row r="772" ht="15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</row>
    <row r="773" ht="15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</row>
    <row r="774" ht="15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</row>
    <row r="775" ht="15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</row>
    <row r="776" ht="15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</row>
    <row r="777" ht="15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</row>
    <row r="778" ht="15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</row>
    <row r="779" ht="15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</row>
    <row r="780" ht="15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</row>
    <row r="781" ht="15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</row>
    <row r="782" ht="15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</row>
    <row r="783" ht="15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</row>
    <row r="784" ht="15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</row>
    <row r="785" ht="15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</row>
    <row r="786" ht="15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</row>
    <row r="787" ht="15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</row>
    <row r="788" ht="15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</row>
    <row r="789" ht="15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</row>
    <row r="790" ht="15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</row>
    <row r="791" ht="15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</row>
    <row r="792" ht="15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</row>
    <row r="793" ht="15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</row>
    <row r="794" ht="15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</row>
    <row r="795" ht="15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</row>
    <row r="796" ht="15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</row>
    <row r="797" ht="15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</row>
    <row r="798" ht="15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</row>
    <row r="799" ht="15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</row>
    <row r="800" ht="15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</row>
    <row r="801" ht="15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</row>
    <row r="802" ht="15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</row>
    <row r="803" ht="15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</row>
    <row r="804" ht="15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</row>
    <row r="805" ht="15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</row>
    <row r="806" ht="15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</row>
    <row r="807" ht="15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</row>
    <row r="808" ht="15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</row>
    <row r="809" ht="15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</row>
    <row r="810" ht="15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</row>
    <row r="811" ht="15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</row>
    <row r="812" ht="15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</row>
    <row r="813" ht="15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</row>
    <row r="814" ht="15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</row>
    <row r="815" ht="15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</row>
    <row r="816" ht="15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</row>
    <row r="817" ht="15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</row>
    <row r="818" ht="15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</row>
    <row r="819" ht="15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</row>
    <row r="820" ht="15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</row>
    <row r="821" ht="15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</row>
    <row r="822" ht="15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</row>
    <row r="823" ht="15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</row>
    <row r="824" ht="15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</row>
    <row r="825" ht="15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</row>
    <row r="826" ht="15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</row>
    <row r="827" ht="15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</row>
    <row r="828" ht="15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</row>
    <row r="829" ht="15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</row>
    <row r="830" ht="15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</row>
    <row r="831" ht="15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</row>
    <row r="832" ht="15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</row>
    <row r="833" ht="15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</row>
    <row r="834" ht="15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</row>
    <row r="835" ht="15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</row>
    <row r="836" ht="15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</row>
    <row r="837" ht="15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</row>
    <row r="838" ht="15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</row>
    <row r="839" ht="15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</row>
    <row r="840" ht="15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</row>
    <row r="841" ht="15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</row>
    <row r="842" ht="15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</row>
    <row r="843" ht="15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</row>
    <row r="844" ht="15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</row>
    <row r="845" ht="15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</row>
    <row r="846" ht="15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</row>
    <row r="847" ht="15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</row>
    <row r="848" ht="15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</row>
    <row r="849" ht="15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</row>
    <row r="850" ht="15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</row>
    <row r="851" ht="15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</row>
    <row r="852" ht="15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</row>
    <row r="853" ht="15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</row>
    <row r="854" ht="15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</row>
    <row r="855" ht="15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</row>
    <row r="856" ht="15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</row>
    <row r="857" ht="15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</row>
    <row r="858" ht="15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</row>
    <row r="859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</row>
    <row r="860" ht="15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</row>
    <row r="861" ht="15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</row>
    <row r="862" ht="15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</row>
    <row r="863" ht="15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</row>
    <row r="864" ht="15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</row>
    <row r="865" ht="15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</row>
    <row r="866" ht="15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</row>
    <row r="867" ht="15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</row>
    <row r="868" ht="15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</row>
    <row r="869" ht="15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</row>
    <row r="870" ht="15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</row>
    <row r="871" ht="15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</row>
    <row r="872" ht="15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</row>
    <row r="873" ht="15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</row>
    <row r="874" ht="15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</row>
    <row r="875" ht="15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</row>
    <row r="876" ht="15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</row>
    <row r="877" ht="15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</row>
    <row r="878" ht="15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</row>
    <row r="879" ht="15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</row>
    <row r="880" ht="15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</row>
    <row r="881" ht="15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</row>
    <row r="882" ht="15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</row>
    <row r="883" ht="15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</row>
    <row r="884" ht="15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</row>
    <row r="885" ht="15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</row>
    <row r="886" ht="15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</row>
    <row r="887" ht="15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</row>
    <row r="888" ht="15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</row>
    <row r="889" ht="15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</row>
    <row r="890" ht="15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</row>
    <row r="891" ht="15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</row>
    <row r="892" ht="15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</row>
    <row r="893" ht="15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</row>
    <row r="894" ht="15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</row>
    <row r="895" ht="15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</row>
    <row r="896" ht="15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</row>
    <row r="897" ht="15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</row>
    <row r="898" ht="15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</row>
    <row r="899" ht="15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</row>
    <row r="900" ht="15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</row>
    <row r="901" ht="15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</row>
    <row r="902" ht="15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</row>
    <row r="903" ht="15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</row>
    <row r="904" ht="15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</row>
    <row r="905" ht="15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</row>
    <row r="906" ht="15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</row>
    <row r="907" ht="15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</row>
    <row r="908" ht="15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</row>
    <row r="909" ht="15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</row>
    <row r="910" ht="15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</row>
    <row r="911" ht="15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</row>
    <row r="912" ht="15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</row>
    <row r="913" ht="15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</row>
    <row r="914" ht="15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</row>
    <row r="915" ht="15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</row>
    <row r="916" ht="15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</row>
    <row r="917" ht="15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</row>
    <row r="918" ht="15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</row>
    <row r="919" ht="15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</row>
    <row r="920" ht="15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</row>
    <row r="921" ht="15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</row>
    <row r="922" ht="15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</row>
    <row r="923" ht="15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</row>
    <row r="924" ht="15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</row>
    <row r="925" ht="15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</row>
    <row r="926" ht="15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</row>
    <row r="927" ht="15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</row>
    <row r="928" ht="15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</row>
    <row r="929" ht="15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</row>
    <row r="930" ht="15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</row>
    <row r="931" ht="15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</row>
    <row r="932" ht="15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</row>
    <row r="933" ht="15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</row>
    <row r="934" ht="15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</row>
    <row r="935" ht="15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</row>
    <row r="936" ht="15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</row>
    <row r="937" ht="15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</row>
    <row r="938" ht="15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</row>
    <row r="939" ht="15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</row>
    <row r="940" ht="15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</row>
    <row r="941" ht="15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</row>
    <row r="942" ht="15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</row>
    <row r="943" ht="15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</row>
    <row r="944" ht="15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</row>
    <row r="945" ht="15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</row>
    <row r="946" ht="15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</row>
    <row r="947" ht="15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</row>
    <row r="948" ht="15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</row>
    <row r="949" ht="15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</row>
    <row r="950" ht="15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</row>
    <row r="951" ht="15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</row>
    <row r="952" ht="15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</row>
    <row r="953" ht="15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</row>
    <row r="954" ht="15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</row>
    <row r="955" ht="15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</row>
    <row r="956" ht="15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</row>
    <row r="957" ht="15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</row>
    <row r="958" ht="15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</row>
    <row r="959" ht="15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</row>
    <row r="960" ht="15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</row>
    <row r="961" ht="15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</row>
    <row r="962" ht="15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</row>
    <row r="963" ht="15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</row>
    <row r="964" ht="15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</row>
    <row r="965" ht="15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</row>
    <row r="966" ht="15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</row>
    <row r="967" ht="15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</row>
    <row r="968" ht="15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</row>
    <row r="969" ht="15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</row>
    <row r="970" ht="15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</row>
    <row r="971" ht="15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</row>
    <row r="972" ht="15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</row>
    <row r="973" ht="15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</row>
    <row r="974" ht="15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</row>
    <row r="975" ht="15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</row>
    <row r="976" ht="15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</row>
    <row r="977" ht="15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</row>
    <row r="978" ht="15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</row>
    <row r="979" ht="15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</row>
    <row r="980" ht="15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</row>
    <row r="981" ht="15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</row>
    <row r="982" ht="15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</row>
    <row r="983" ht="15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</row>
    <row r="984" ht="15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</row>
    <row r="985" ht="15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</row>
    <row r="986" ht="15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</row>
    <row r="987" ht="15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</row>
    <row r="988" ht="15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</row>
    <row r="989" ht="15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</row>
    <row r="990" ht="15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</row>
    <row r="991" ht="15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</row>
    <row r="992" ht="15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</row>
    <row r="993" ht="15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</row>
    <row r="994" ht="15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</row>
    <row r="995" ht="15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</row>
    <row r="996" ht="15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</row>
    <row r="997" ht="15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</row>
    <row r="998" ht="15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</row>
    <row r="999" ht="15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</row>
    <row r="1000" ht="15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</row>
  </sheetData>
  <mergeCells count="4">
    <mergeCell ref="C3:D3"/>
    <mergeCell ref="E3:F3"/>
    <mergeCell ref="G3:J3"/>
    <mergeCell ref="K3:N3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3.71"/>
    <col customWidth="1" min="2" max="2" width="29.14"/>
    <col customWidth="1" min="3" max="4" width="10.71"/>
    <col customWidth="1" min="5" max="5" width="11.29"/>
    <col customWidth="1" min="6" max="12" width="10.71"/>
    <col customWidth="1" min="13" max="26" width="8.0"/>
    <col customWidth="1" hidden="1" min="27" max="27" width="12.0"/>
    <col customWidth="1" hidden="1" min="28" max="28" width="27.29"/>
    <col customWidth="1" hidden="1" min="29" max="29" width="8.0"/>
    <col customWidth="1" hidden="1" min="30" max="33" width="9.14"/>
    <col customWidth="1" hidden="1" min="34" max="39" width="8.0"/>
    <col customWidth="1" hidden="1" min="40" max="40" width="9.14"/>
    <col customWidth="1" hidden="1" min="41" max="42" width="8.0"/>
    <col customWidth="1" hidden="1" min="43" max="44" width="9.14"/>
    <col customWidth="1" hidden="1" min="45" max="45" width="8.0"/>
    <col customWidth="1" hidden="1" min="46" max="46" width="10.43"/>
    <col customWidth="1" hidden="1" min="47" max="49" width="8.0"/>
    <col customWidth="1" hidden="1" min="50" max="50" width="9.71"/>
    <col customWidth="1" hidden="1" min="51" max="51" width="10.29"/>
    <col customWidth="1" hidden="1" min="52" max="53" width="8.0"/>
  </cols>
  <sheetData>
    <row r="1" ht="15.75" customHeight="1">
      <c r="A1" s="1"/>
      <c r="B1" s="52" t="s">
        <v>127</v>
      </c>
      <c r="C1" s="7"/>
      <c r="D1" s="7"/>
      <c r="E1" s="7"/>
      <c r="F1" s="7"/>
      <c r="G1" s="7"/>
      <c r="H1" s="7"/>
      <c r="I1" s="7"/>
      <c r="J1" s="7"/>
      <c r="K1" s="7"/>
      <c r="L1" s="7"/>
      <c r="M1" s="1"/>
      <c r="N1" s="51"/>
      <c r="Z1" s="5"/>
      <c r="AA1" s="55" t="s">
        <v>16</v>
      </c>
      <c r="AB1" s="55" t="s">
        <v>17</v>
      </c>
      <c r="AC1" s="55" t="s">
        <v>18</v>
      </c>
      <c r="AD1" s="56" t="s">
        <v>62</v>
      </c>
      <c r="AE1" s="56" t="s">
        <v>63</v>
      </c>
      <c r="AF1" s="162" t="s">
        <v>64</v>
      </c>
      <c r="AG1" s="163" t="s">
        <v>128</v>
      </c>
      <c r="AH1" s="164" t="s">
        <v>129</v>
      </c>
      <c r="AI1" s="165" t="s">
        <v>130</v>
      </c>
      <c r="AJ1" s="166" t="s">
        <v>131</v>
      </c>
      <c r="AK1" s="167" t="s">
        <v>132</v>
      </c>
      <c r="AL1" s="168" t="s">
        <v>133</v>
      </c>
      <c r="AM1" s="169" t="s">
        <v>70</v>
      </c>
      <c r="AN1" s="170" t="s">
        <v>134</v>
      </c>
      <c r="AO1" s="167" t="s">
        <v>135</v>
      </c>
      <c r="AP1" s="166" t="s">
        <v>71</v>
      </c>
      <c r="AQ1" s="168" t="s">
        <v>136</v>
      </c>
      <c r="AR1" s="169" t="s">
        <v>137</v>
      </c>
      <c r="AS1" s="55" t="s">
        <v>18</v>
      </c>
      <c r="AT1" s="55" t="s">
        <v>16</v>
      </c>
      <c r="AU1" s="168" t="s">
        <v>138</v>
      </c>
      <c r="AV1" s="169" t="s">
        <v>139</v>
      </c>
      <c r="AW1" s="170" t="s">
        <v>140</v>
      </c>
      <c r="AX1" s="166" t="s">
        <v>141</v>
      </c>
      <c r="AY1" s="167" t="s">
        <v>142</v>
      </c>
      <c r="AZ1" s="168" t="s">
        <v>143</v>
      </c>
      <c r="BA1" s="169" t="s">
        <v>144</v>
      </c>
    </row>
    <row r="2">
      <c r="A2" s="1"/>
      <c r="B2" s="74" t="s">
        <v>81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1"/>
      <c r="N2" s="51"/>
      <c r="Z2" s="5"/>
      <c r="AA2" s="75" t="s">
        <v>23</v>
      </c>
      <c r="AB2" s="76" t="s">
        <v>24</v>
      </c>
      <c r="AC2" s="56">
        <f>IF('Ship Data Imperial'!E3&gt;0,'Ship Data Imperial'!E3,AS2)</f>
        <v>0</v>
      </c>
      <c r="AD2" s="77" t="str">
        <f>'Ship Data Imperial'!F3</f>
        <v/>
      </c>
      <c r="AE2" s="77"/>
      <c r="AF2" s="171"/>
      <c r="AG2" s="172">
        <f t="shared" ref="AG2:AG7" si="1">IF(AC2&gt;0,$AD$2*0.833,0)</f>
        <v>0</v>
      </c>
      <c r="AH2" s="173">
        <f t="shared" ref="AH2:AH7" si="2">IF(AC2&gt;0,$AG$136*0.8,0)</f>
        <v>0</v>
      </c>
      <c r="AI2" s="174">
        <f t="shared" ref="AI2:AI7" si="3">IF(AC2&gt;0,$AG$136*0.7619,0)</f>
        <v>0</v>
      </c>
      <c r="AJ2" s="175">
        <f t="shared" ref="AJ2:AJ7" si="4">IF(AC2&gt;0,$AG$136*0.4285,0)</f>
        <v>0</v>
      </c>
      <c r="AK2" s="176">
        <f t="shared" ref="AK2:AK55" si="5">IF(AC2&gt;0,$AH$136*0.5,0)</f>
        <v>0</v>
      </c>
      <c r="AL2" s="172">
        <f>IF(AC2&gt;0,Masts!C17,0)</f>
        <v>0</v>
      </c>
      <c r="AM2" s="173">
        <f t="shared" ref="AM2:AM55" si="6">IF(AC2&gt;0,$AI$136/2,0)</f>
        <v>0</v>
      </c>
      <c r="AN2" s="174">
        <f t="shared" ref="AN2:AN85" si="7">IF(AC2&gt;0,$AJ$136/2,0)</f>
        <v>0</v>
      </c>
      <c r="AO2" s="176">
        <f t="shared" ref="AO2:AO85" si="8">IF(AC2&gt;0,$AK$136/2,0)</f>
        <v>0</v>
      </c>
      <c r="AP2" s="175">
        <f t="shared" ref="AP2:AP85" si="9">IF(AC2&gt;0,$AM$136/2,0)</f>
        <v>0</v>
      </c>
      <c r="AQ2" s="172">
        <f t="shared" ref="AQ2:AQ7" si="10">IF(AC2&gt;0,$AG$136*0.7619,0)</f>
        <v>0</v>
      </c>
      <c r="AR2" s="173">
        <f t="shared" ref="AR2:AR61" si="11">IF(AC2&gt;0,$AQ$136/2,0)</f>
        <v>0</v>
      </c>
      <c r="AS2" s="56">
        <f>'Ship Data Metric'!E3*0.03280839895</f>
        <v>0</v>
      </c>
      <c r="AT2" s="75" t="s">
        <v>23</v>
      </c>
      <c r="AU2" s="172">
        <f t="shared" ref="AU2:AU97" si="12">IF(AC2&gt;0,($AG$136/3)*0.75,0)</f>
        <v>0</v>
      </c>
      <c r="AV2" s="173">
        <f t="shared" ref="AV2:AV97" si="13">IF(AC2&gt;0,($AH$136/3)*0.75,0)</f>
        <v>0</v>
      </c>
      <c r="AW2" s="174">
        <f t="shared" ref="AW2:AW61" si="14">IF(AC2&gt;0,($AN$136/3)*0.625,0)</f>
        <v>0</v>
      </c>
      <c r="AX2" s="175">
        <f t="shared" ref="AX2:AX61" si="15">IF(AC2&gt;0,($AO$136/3)*0.625,0)</f>
        <v>0</v>
      </c>
      <c r="AY2" s="176">
        <f t="shared" ref="AY2:AY97" si="16">IF(AC2&gt;0,($AI$136/3)*0.6153,0)</f>
        <v>0</v>
      </c>
      <c r="AZ2" s="172">
        <f t="shared" ref="AZ2:AZ61" si="17">IF(AC2&gt;0,($AR$136/3)*0.625,0)</f>
        <v>0</v>
      </c>
      <c r="BA2" s="173">
        <f t="shared" ref="BA2:BA61" si="18">IF(AC2&gt;0,($AL$136/3)*0.5,0)</f>
        <v>0</v>
      </c>
    </row>
    <row r="3">
      <c r="A3" s="1"/>
      <c r="B3" s="89" t="s">
        <v>82</v>
      </c>
      <c r="C3" s="90" t="s">
        <v>83</v>
      </c>
      <c r="D3" s="91"/>
      <c r="E3" s="92" t="s">
        <v>84</v>
      </c>
      <c r="F3" s="91"/>
      <c r="G3" s="177" t="s">
        <v>145</v>
      </c>
      <c r="H3" s="94"/>
      <c r="I3" s="91"/>
      <c r="J3" s="178" t="s">
        <v>146</v>
      </c>
      <c r="K3" s="94"/>
      <c r="L3" s="91"/>
      <c r="M3" s="1"/>
      <c r="N3" s="1"/>
      <c r="Z3" s="5"/>
      <c r="AA3" s="96"/>
      <c r="AB3" s="76" t="s">
        <v>25</v>
      </c>
      <c r="AC3" s="56">
        <f>IF('Ship Data Imperial'!E4&gt;0,'Ship Data Imperial'!E4,AS3)</f>
        <v>0</v>
      </c>
      <c r="AD3" s="77"/>
      <c r="AE3" s="77"/>
      <c r="AF3" s="171"/>
      <c r="AG3" s="172">
        <f t="shared" si="1"/>
        <v>0</v>
      </c>
      <c r="AH3" s="173">
        <f t="shared" si="2"/>
        <v>0</v>
      </c>
      <c r="AI3" s="174">
        <f t="shared" si="3"/>
        <v>0</v>
      </c>
      <c r="AJ3" s="175">
        <f t="shared" si="4"/>
        <v>0</v>
      </c>
      <c r="AK3" s="176">
        <f t="shared" si="5"/>
        <v>0</v>
      </c>
      <c r="AL3" s="172">
        <f>IF(AC3&gt;0,Masts!C18,0)</f>
        <v>0</v>
      </c>
      <c r="AM3" s="173">
        <f t="shared" si="6"/>
        <v>0</v>
      </c>
      <c r="AN3" s="174">
        <f t="shared" si="7"/>
        <v>0</v>
      </c>
      <c r="AO3" s="176">
        <f t="shared" si="8"/>
        <v>0</v>
      </c>
      <c r="AP3" s="175">
        <f t="shared" si="9"/>
        <v>0</v>
      </c>
      <c r="AQ3" s="172">
        <f t="shared" si="10"/>
        <v>0</v>
      </c>
      <c r="AR3" s="173">
        <f t="shared" si="11"/>
        <v>0</v>
      </c>
      <c r="AS3" s="56">
        <f>'Ship Data Metric'!E4*0.03280839895</f>
        <v>0</v>
      </c>
      <c r="AT3" s="96"/>
      <c r="AU3" s="172">
        <f t="shared" si="12"/>
        <v>0</v>
      </c>
      <c r="AV3" s="173">
        <f t="shared" si="13"/>
        <v>0</v>
      </c>
      <c r="AW3" s="174">
        <f t="shared" si="14"/>
        <v>0</v>
      </c>
      <c r="AX3" s="175">
        <f t="shared" si="15"/>
        <v>0</v>
      </c>
      <c r="AY3" s="176">
        <f t="shared" si="16"/>
        <v>0</v>
      </c>
      <c r="AZ3" s="172">
        <f t="shared" si="17"/>
        <v>0</v>
      </c>
      <c r="BA3" s="173">
        <f t="shared" si="18"/>
        <v>0</v>
      </c>
    </row>
    <row r="4">
      <c r="A4" s="1"/>
      <c r="B4" s="97"/>
      <c r="C4" s="98" t="s">
        <v>87</v>
      </c>
      <c r="D4" s="99" t="s">
        <v>88</v>
      </c>
      <c r="E4" s="100" t="s">
        <v>89</v>
      </c>
      <c r="F4" s="101" t="s">
        <v>90</v>
      </c>
      <c r="G4" s="102" t="s">
        <v>64</v>
      </c>
      <c r="H4" s="103" t="s">
        <v>91</v>
      </c>
      <c r="I4" s="104" t="s">
        <v>147</v>
      </c>
      <c r="J4" s="105" t="s">
        <v>64</v>
      </c>
      <c r="K4" s="106" t="s">
        <v>91</v>
      </c>
      <c r="L4" s="107" t="s">
        <v>147</v>
      </c>
      <c r="M4" s="1"/>
      <c r="N4" s="1"/>
      <c r="Z4" s="5"/>
      <c r="AA4" s="96"/>
      <c r="AB4" s="76" t="s">
        <v>26</v>
      </c>
      <c r="AC4" s="56">
        <f>IF('Ship Data Imperial'!E5&gt;0,'Ship Data Imperial'!E5,AS4)</f>
        <v>0</v>
      </c>
      <c r="AD4" s="77"/>
      <c r="AE4" s="77"/>
      <c r="AF4" s="171"/>
      <c r="AG4" s="172">
        <f t="shared" si="1"/>
        <v>0</v>
      </c>
      <c r="AH4" s="173">
        <f t="shared" si="2"/>
        <v>0</v>
      </c>
      <c r="AI4" s="174">
        <f t="shared" si="3"/>
        <v>0</v>
      </c>
      <c r="AJ4" s="175">
        <f t="shared" si="4"/>
        <v>0</v>
      </c>
      <c r="AK4" s="176">
        <f t="shared" si="5"/>
        <v>0</v>
      </c>
      <c r="AL4" s="172">
        <f>IF(AC4&gt;0,Masts!C19,0)</f>
        <v>0</v>
      </c>
      <c r="AM4" s="173">
        <f t="shared" si="6"/>
        <v>0</v>
      </c>
      <c r="AN4" s="174">
        <f t="shared" si="7"/>
        <v>0</v>
      </c>
      <c r="AO4" s="176">
        <f t="shared" si="8"/>
        <v>0</v>
      </c>
      <c r="AP4" s="175">
        <f t="shared" si="9"/>
        <v>0</v>
      </c>
      <c r="AQ4" s="172">
        <f t="shared" si="10"/>
        <v>0</v>
      </c>
      <c r="AR4" s="173">
        <f t="shared" si="11"/>
        <v>0</v>
      </c>
      <c r="AS4" s="56">
        <f>'Ship Data Metric'!E5*0.03280839895</f>
        <v>0</v>
      </c>
      <c r="AT4" s="96"/>
      <c r="AU4" s="172">
        <f t="shared" si="12"/>
        <v>0</v>
      </c>
      <c r="AV4" s="173">
        <f t="shared" si="13"/>
        <v>0</v>
      </c>
      <c r="AW4" s="174">
        <f t="shared" si="14"/>
        <v>0</v>
      </c>
      <c r="AX4" s="175">
        <f t="shared" si="15"/>
        <v>0</v>
      </c>
      <c r="AY4" s="176">
        <f t="shared" si="16"/>
        <v>0</v>
      </c>
      <c r="AZ4" s="172">
        <f t="shared" si="17"/>
        <v>0</v>
      </c>
      <c r="BA4" s="173">
        <f t="shared" si="18"/>
        <v>0</v>
      </c>
    </row>
    <row r="5">
      <c r="A5" s="1"/>
      <c r="B5" s="108" t="s">
        <v>148</v>
      </c>
      <c r="C5" s="179">
        <f>AQ136</f>
        <v>30.55585341</v>
      </c>
      <c r="D5" s="120">
        <f>(C5/3)*0.625</f>
        <v>6.365802794</v>
      </c>
      <c r="E5" s="180">
        <f t="shared" ref="E5:E18" si="19">C5*30.48</f>
        <v>931.342412</v>
      </c>
      <c r="F5" s="112">
        <f t="shared" ref="F5:F18" si="20">D5*25.4</f>
        <v>161.691391</v>
      </c>
      <c r="G5" s="181">
        <f>(C5/Introduction!$I$20)*12</f>
        <v>3.819481676</v>
      </c>
      <c r="H5" s="182">
        <f>(D5/Introduction!$I$20)</f>
        <v>0.06631044577</v>
      </c>
      <c r="I5" s="137">
        <f>AP272</f>
        <v>0.03788978871</v>
      </c>
      <c r="J5" s="183">
        <f>(E5/Introduction!$I$20)*1</f>
        <v>9.701483458</v>
      </c>
      <c r="K5" s="184">
        <f>(F5/Introduction!$I$20)</f>
        <v>1.684285323</v>
      </c>
      <c r="L5" s="142">
        <f t="shared" ref="L5:L36" si="21">I5*25.4</f>
        <v>0.9624006333</v>
      </c>
      <c r="M5" s="1"/>
      <c r="N5" s="1"/>
      <c r="Z5" s="5"/>
      <c r="AA5" s="96"/>
      <c r="AB5" s="76" t="s">
        <v>27</v>
      </c>
      <c r="AC5" s="56">
        <f>IF('Ship Data Imperial'!E6&gt;0,'Ship Data Imperial'!E6,AS5)</f>
        <v>0</v>
      </c>
      <c r="AD5" s="77"/>
      <c r="AE5" s="77"/>
      <c r="AF5" s="171"/>
      <c r="AG5" s="172">
        <f t="shared" si="1"/>
        <v>0</v>
      </c>
      <c r="AH5" s="173">
        <f t="shared" si="2"/>
        <v>0</v>
      </c>
      <c r="AI5" s="174">
        <f t="shared" si="3"/>
        <v>0</v>
      </c>
      <c r="AJ5" s="175">
        <f t="shared" si="4"/>
        <v>0</v>
      </c>
      <c r="AK5" s="176">
        <f t="shared" si="5"/>
        <v>0</v>
      </c>
      <c r="AL5" s="172">
        <f>IF(AC5&gt;0,Masts!C20,0)</f>
        <v>0</v>
      </c>
      <c r="AM5" s="173">
        <f t="shared" si="6"/>
        <v>0</v>
      </c>
      <c r="AN5" s="174">
        <f t="shared" si="7"/>
        <v>0</v>
      </c>
      <c r="AO5" s="176">
        <f t="shared" si="8"/>
        <v>0</v>
      </c>
      <c r="AP5" s="175">
        <f t="shared" si="9"/>
        <v>0</v>
      </c>
      <c r="AQ5" s="172">
        <f t="shared" si="10"/>
        <v>0</v>
      </c>
      <c r="AR5" s="173">
        <f t="shared" si="11"/>
        <v>0</v>
      </c>
      <c r="AS5" s="56">
        <f>'Ship Data Metric'!E6*0.03280839895</f>
        <v>0</v>
      </c>
      <c r="AT5" s="96"/>
      <c r="AU5" s="172">
        <f t="shared" si="12"/>
        <v>0</v>
      </c>
      <c r="AV5" s="173">
        <f t="shared" si="13"/>
        <v>0</v>
      </c>
      <c r="AW5" s="174">
        <f t="shared" si="14"/>
        <v>0</v>
      </c>
      <c r="AX5" s="175">
        <f t="shared" si="15"/>
        <v>0</v>
      </c>
      <c r="AY5" s="176">
        <f t="shared" si="16"/>
        <v>0</v>
      </c>
      <c r="AZ5" s="172">
        <f t="shared" si="17"/>
        <v>0</v>
      </c>
      <c r="BA5" s="173">
        <f t="shared" si="18"/>
        <v>0</v>
      </c>
    </row>
    <row r="6">
      <c r="A6" s="1"/>
      <c r="B6" s="126" t="s">
        <v>149</v>
      </c>
      <c r="C6" s="185">
        <f>AR136</f>
        <v>18.33351205</v>
      </c>
      <c r="D6" s="128">
        <f>AZ136</f>
        <v>3.666702409</v>
      </c>
      <c r="E6" s="129">
        <f t="shared" si="19"/>
        <v>558.8054472</v>
      </c>
      <c r="F6" s="130">
        <f t="shared" si="20"/>
        <v>93.1342412</v>
      </c>
      <c r="G6" s="131">
        <f>(C6/Introduction!$I$20)*12</f>
        <v>2.291689006</v>
      </c>
      <c r="H6" s="186">
        <f>(D6/Introduction!$I$20)</f>
        <v>0.03819481676</v>
      </c>
      <c r="I6" s="187">
        <f>AQ272</f>
        <v>0.0218245183</v>
      </c>
      <c r="J6" s="133">
        <f>(E6/Introduction!$I$20)*1</f>
        <v>5.820890075</v>
      </c>
      <c r="K6" s="188">
        <f>(F6/Introduction!$I$20)</f>
        <v>0.9701483458</v>
      </c>
      <c r="L6" s="135">
        <f t="shared" si="21"/>
        <v>0.5543427648</v>
      </c>
      <c r="M6" s="1"/>
      <c r="N6" s="1"/>
      <c r="Z6" s="5"/>
      <c r="AA6" s="96"/>
      <c r="AB6" s="76" t="s">
        <v>28</v>
      </c>
      <c r="AC6" s="56">
        <f>IF('Ship Data Imperial'!E7&gt;0,'Ship Data Imperial'!E7,AS6)</f>
        <v>0</v>
      </c>
      <c r="AD6" s="77"/>
      <c r="AE6" s="77"/>
      <c r="AF6" s="171"/>
      <c r="AG6" s="172">
        <f t="shared" si="1"/>
        <v>0</v>
      </c>
      <c r="AH6" s="173">
        <f t="shared" si="2"/>
        <v>0</v>
      </c>
      <c r="AI6" s="174">
        <f t="shared" si="3"/>
        <v>0</v>
      </c>
      <c r="AJ6" s="175">
        <f t="shared" si="4"/>
        <v>0</v>
      </c>
      <c r="AK6" s="176">
        <f t="shared" si="5"/>
        <v>0</v>
      </c>
      <c r="AL6" s="172">
        <f>IF(AC6&gt;0,Masts!C21,0)</f>
        <v>0</v>
      </c>
      <c r="AM6" s="173">
        <f t="shared" si="6"/>
        <v>0</v>
      </c>
      <c r="AN6" s="174">
        <f t="shared" si="7"/>
        <v>0</v>
      </c>
      <c r="AO6" s="176">
        <f t="shared" si="8"/>
        <v>0</v>
      </c>
      <c r="AP6" s="175">
        <f t="shared" si="9"/>
        <v>0</v>
      </c>
      <c r="AQ6" s="172">
        <f t="shared" si="10"/>
        <v>0</v>
      </c>
      <c r="AR6" s="173">
        <f t="shared" si="11"/>
        <v>0</v>
      </c>
      <c r="AS6" s="56">
        <f>'Ship Data Metric'!E7*0.03280839895</f>
        <v>0</v>
      </c>
      <c r="AT6" s="96"/>
      <c r="AU6" s="172">
        <f t="shared" si="12"/>
        <v>0</v>
      </c>
      <c r="AV6" s="173">
        <f t="shared" si="13"/>
        <v>0</v>
      </c>
      <c r="AW6" s="174">
        <f t="shared" si="14"/>
        <v>0</v>
      </c>
      <c r="AX6" s="175">
        <f t="shared" si="15"/>
        <v>0</v>
      </c>
      <c r="AY6" s="176">
        <f t="shared" si="16"/>
        <v>0</v>
      </c>
      <c r="AZ6" s="172">
        <f t="shared" si="17"/>
        <v>0</v>
      </c>
      <c r="BA6" s="173">
        <f t="shared" si="18"/>
        <v>0</v>
      </c>
    </row>
    <row r="7">
      <c r="A7" s="1"/>
      <c r="B7" s="108" t="s">
        <v>129</v>
      </c>
      <c r="C7" s="179">
        <f>AH136</f>
        <v>30.55585341</v>
      </c>
      <c r="D7" s="110">
        <f>AV136</f>
        <v>7.129699129</v>
      </c>
      <c r="E7" s="180">
        <f t="shared" si="19"/>
        <v>931.342412</v>
      </c>
      <c r="F7" s="112">
        <f t="shared" si="20"/>
        <v>181.0943579</v>
      </c>
      <c r="G7" s="113">
        <f>(C7/Introduction!$I$20)*12</f>
        <v>3.819481676</v>
      </c>
      <c r="H7" s="182">
        <f>(D7/Introduction!$I$20)</f>
        <v>0.07426769927</v>
      </c>
      <c r="I7" s="137">
        <f>AE272</f>
        <v>3.9313161</v>
      </c>
      <c r="J7" s="115">
        <f>(E7/Introduction!$I$20)*1</f>
        <v>9.701483458</v>
      </c>
      <c r="K7" s="184">
        <f>(F7/Introduction!$I$20)</f>
        <v>1.886399561</v>
      </c>
      <c r="L7" s="142">
        <f t="shared" si="21"/>
        <v>99.85542894</v>
      </c>
      <c r="M7" s="1"/>
      <c r="N7" s="1"/>
      <c r="Z7" s="5"/>
      <c r="AA7" s="96"/>
      <c r="AB7" s="76" t="s">
        <v>29</v>
      </c>
      <c r="AC7" s="56">
        <f>IF('Ship Data Imperial'!E8&gt;0,'Ship Data Imperial'!E8,AS7)</f>
        <v>0</v>
      </c>
      <c r="AD7" s="77"/>
      <c r="AE7" s="77"/>
      <c r="AF7" s="171"/>
      <c r="AG7" s="172">
        <f t="shared" si="1"/>
        <v>0</v>
      </c>
      <c r="AH7" s="173">
        <f t="shared" si="2"/>
        <v>0</v>
      </c>
      <c r="AI7" s="174">
        <f t="shared" si="3"/>
        <v>0</v>
      </c>
      <c r="AJ7" s="175">
        <f t="shared" si="4"/>
        <v>0</v>
      </c>
      <c r="AK7" s="176">
        <f t="shared" si="5"/>
        <v>0</v>
      </c>
      <c r="AL7" s="172">
        <f>IF(AC7&gt;0,Masts!C22,0)</f>
        <v>0</v>
      </c>
      <c r="AM7" s="173">
        <f t="shared" si="6"/>
        <v>0</v>
      </c>
      <c r="AN7" s="174">
        <f t="shared" si="7"/>
        <v>0</v>
      </c>
      <c r="AO7" s="176">
        <f t="shared" si="8"/>
        <v>0</v>
      </c>
      <c r="AP7" s="175">
        <f t="shared" si="9"/>
        <v>0</v>
      </c>
      <c r="AQ7" s="172">
        <f t="shared" si="10"/>
        <v>0</v>
      </c>
      <c r="AR7" s="173">
        <f t="shared" si="11"/>
        <v>0</v>
      </c>
      <c r="AS7" s="56">
        <f>'Ship Data Metric'!E8*0.03280839895</f>
        <v>0</v>
      </c>
      <c r="AT7" s="96"/>
      <c r="AU7" s="172">
        <f t="shared" si="12"/>
        <v>0</v>
      </c>
      <c r="AV7" s="173">
        <f t="shared" si="13"/>
        <v>0</v>
      </c>
      <c r="AW7" s="174">
        <f t="shared" si="14"/>
        <v>0</v>
      </c>
      <c r="AX7" s="175">
        <f t="shared" si="15"/>
        <v>0</v>
      </c>
      <c r="AY7" s="176">
        <f t="shared" si="16"/>
        <v>0</v>
      </c>
      <c r="AZ7" s="172">
        <f t="shared" si="17"/>
        <v>0</v>
      </c>
      <c r="BA7" s="173">
        <f t="shared" si="18"/>
        <v>0</v>
      </c>
    </row>
    <row r="8">
      <c r="A8" s="1"/>
      <c r="B8" s="118" t="s">
        <v>150</v>
      </c>
      <c r="C8" s="189">
        <f>AK136</f>
        <v>30.55585341</v>
      </c>
      <c r="D8" s="120">
        <f>(C8/3)*0.625</f>
        <v>6.365802794</v>
      </c>
      <c r="E8" s="190">
        <f t="shared" si="19"/>
        <v>931.342412</v>
      </c>
      <c r="F8" s="122">
        <f t="shared" si="20"/>
        <v>161.691391</v>
      </c>
      <c r="G8" s="123">
        <f>(C8/Introduction!$I$20)*12</f>
        <v>3.819481676</v>
      </c>
      <c r="H8" s="191">
        <f>(D8/Introduction!$I$20)</f>
        <v>0.06631044577</v>
      </c>
      <c r="I8" s="192">
        <f>AH272</f>
        <v>0.03788978871</v>
      </c>
      <c r="J8" s="124">
        <f>(E8/Introduction!$I$20)*1</f>
        <v>9.701483458</v>
      </c>
      <c r="K8" s="193">
        <f>(F8/Introduction!$I$20)</f>
        <v>1.684285323</v>
      </c>
      <c r="L8" s="125">
        <f t="shared" si="21"/>
        <v>0.9624006333</v>
      </c>
      <c r="M8" s="1"/>
      <c r="N8" s="1"/>
      <c r="Z8" s="5"/>
      <c r="AA8" s="75" t="s">
        <v>30</v>
      </c>
      <c r="AB8" s="76" t="s">
        <v>24</v>
      </c>
      <c r="AC8" s="56">
        <f>IF('Ship Data Imperial'!E9&gt;0,'Ship Data Imperial'!E9,AS8)</f>
        <v>0</v>
      </c>
      <c r="AD8" s="77"/>
      <c r="AE8" s="77"/>
      <c r="AF8" s="171"/>
      <c r="AG8" s="172">
        <f>IF(AC8&gt;0,Masts!$C$13*0.97,0)</f>
        <v>0</v>
      </c>
      <c r="AH8" s="173">
        <f t="shared" ref="AH8:AH19" si="22">IF(AC8&gt;0,$AG$136*0.77,0)</f>
        <v>0</v>
      </c>
      <c r="AI8" s="174">
        <f t="shared" ref="AI8:AI19" si="23">IF(AC8&gt;0,$AG$136*0.466,0)</f>
        <v>0</v>
      </c>
      <c r="AJ8" s="175">
        <f t="shared" ref="AJ8:AJ25" si="24">IF(AC8&gt;0,$AG$136*0.4666,0)</f>
        <v>0</v>
      </c>
      <c r="AK8" s="176">
        <f t="shared" si="5"/>
        <v>0</v>
      </c>
      <c r="AL8" s="172">
        <f t="shared" ref="AL8:AL19" si="25">IF(AC8&gt;0,$AH$136*0.9,0)</f>
        <v>0</v>
      </c>
      <c r="AM8" s="173">
        <f t="shared" si="6"/>
        <v>0</v>
      </c>
      <c r="AN8" s="174">
        <f t="shared" si="7"/>
        <v>0</v>
      </c>
      <c r="AO8" s="176">
        <f t="shared" si="8"/>
        <v>0</v>
      </c>
      <c r="AP8" s="175">
        <f t="shared" si="9"/>
        <v>0</v>
      </c>
      <c r="AQ8" s="172">
        <f t="shared" ref="AQ8:AQ37" si="26">IF(AC8&gt;0,$AH$136*0.666,0)</f>
        <v>0</v>
      </c>
      <c r="AR8" s="173">
        <f t="shared" si="11"/>
        <v>0</v>
      </c>
      <c r="AS8" s="56">
        <f>'Ship Data Metric'!E9*0.03280839895</f>
        <v>0</v>
      </c>
      <c r="AT8" s="75" t="s">
        <v>30</v>
      </c>
      <c r="AU8" s="172">
        <f t="shared" si="12"/>
        <v>0</v>
      </c>
      <c r="AV8" s="173">
        <f t="shared" si="13"/>
        <v>0</v>
      </c>
      <c r="AW8" s="174">
        <f t="shared" si="14"/>
        <v>0</v>
      </c>
      <c r="AX8" s="175">
        <f t="shared" si="15"/>
        <v>0</v>
      </c>
      <c r="AY8" s="176">
        <f t="shared" si="16"/>
        <v>0</v>
      </c>
      <c r="AZ8" s="172">
        <f t="shared" si="17"/>
        <v>0</v>
      </c>
      <c r="BA8" s="173">
        <f t="shared" si="18"/>
        <v>0</v>
      </c>
    </row>
    <row r="9">
      <c r="A9" s="1"/>
      <c r="B9" s="118" t="s">
        <v>151</v>
      </c>
      <c r="C9" s="189">
        <f>AO136</f>
        <v>18.33351205</v>
      </c>
      <c r="D9" s="120">
        <f>AX136</f>
        <v>3.666702409</v>
      </c>
      <c r="E9" s="190">
        <f t="shared" si="19"/>
        <v>558.8054472</v>
      </c>
      <c r="F9" s="122">
        <f t="shared" si="20"/>
        <v>93.1342412</v>
      </c>
      <c r="G9" s="123">
        <f>(C9/Introduction!$I$20)*12</f>
        <v>2.291689006</v>
      </c>
      <c r="H9" s="191">
        <f>(D9/Introduction!$I$20)</f>
        <v>0.03819481676</v>
      </c>
      <c r="I9" s="192">
        <f>AK272</f>
        <v>0.0218245183</v>
      </c>
      <c r="J9" s="124">
        <f>(E9/Introduction!$I$20)*1</f>
        <v>5.820890075</v>
      </c>
      <c r="K9" s="193">
        <f>(F9/Introduction!$I$20)</f>
        <v>0.9701483458</v>
      </c>
      <c r="L9" s="125">
        <f t="shared" si="21"/>
        <v>0.5543427648</v>
      </c>
      <c r="M9" s="1"/>
      <c r="N9" s="1"/>
      <c r="Z9" s="5"/>
      <c r="AA9" s="96"/>
      <c r="AB9" s="76" t="s">
        <v>25</v>
      </c>
      <c r="AC9" s="56">
        <f>IF('Ship Data Imperial'!E10&gt;0,'Ship Data Imperial'!E10,AS9)</f>
        <v>0</v>
      </c>
      <c r="AD9" s="77"/>
      <c r="AE9" s="77"/>
      <c r="AF9" s="171"/>
      <c r="AG9" s="172">
        <f>IF(AC9&gt;0,Masts!$C$13*0.97,0)</f>
        <v>0</v>
      </c>
      <c r="AH9" s="173">
        <f t="shared" si="22"/>
        <v>0</v>
      </c>
      <c r="AI9" s="174">
        <f t="shared" si="23"/>
        <v>0</v>
      </c>
      <c r="AJ9" s="175">
        <f t="shared" si="24"/>
        <v>0</v>
      </c>
      <c r="AK9" s="176">
        <f t="shared" si="5"/>
        <v>0</v>
      </c>
      <c r="AL9" s="172">
        <f t="shared" si="25"/>
        <v>0</v>
      </c>
      <c r="AM9" s="173">
        <f t="shared" si="6"/>
        <v>0</v>
      </c>
      <c r="AN9" s="174">
        <f t="shared" si="7"/>
        <v>0</v>
      </c>
      <c r="AO9" s="176">
        <f t="shared" si="8"/>
        <v>0</v>
      </c>
      <c r="AP9" s="175">
        <f t="shared" si="9"/>
        <v>0</v>
      </c>
      <c r="AQ9" s="172">
        <f t="shared" si="26"/>
        <v>0</v>
      </c>
      <c r="AR9" s="173">
        <f t="shared" si="11"/>
        <v>0</v>
      </c>
      <c r="AS9" s="56">
        <f>'Ship Data Metric'!E10*0.03280839895</f>
        <v>0</v>
      </c>
      <c r="AT9" s="96"/>
      <c r="AU9" s="172">
        <f t="shared" si="12"/>
        <v>0</v>
      </c>
      <c r="AV9" s="173">
        <f t="shared" si="13"/>
        <v>0</v>
      </c>
      <c r="AW9" s="174">
        <f t="shared" si="14"/>
        <v>0</v>
      </c>
      <c r="AX9" s="175">
        <f t="shared" si="15"/>
        <v>0</v>
      </c>
      <c r="AY9" s="176">
        <f t="shared" si="16"/>
        <v>0</v>
      </c>
      <c r="AZ9" s="172">
        <f t="shared" si="17"/>
        <v>0</v>
      </c>
      <c r="BA9" s="173">
        <f t="shared" si="18"/>
        <v>0</v>
      </c>
    </row>
    <row r="10">
      <c r="A10" s="1"/>
      <c r="B10" s="118" t="s">
        <v>152</v>
      </c>
      <c r="C10" s="119">
        <f t="shared" ref="C10:D10" si="27">C9/2</f>
        <v>9.166756024</v>
      </c>
      <c r="D10" s="120">
        <f t="shared" si="27"/>
        <v>1.833351205</v>
      </c>
      <c r="E10" s="190">
        <f t="shared" si="19"/>
        <v>279.4027236</v>
      </c>
      <c r="F10" s="122">
        <f t="shared" si="20"/>
        <v>46.5671206</v>
      </c>
      <c r="G10" s="123">
        <f>(C10/Introduction!$I$20)*12</f>
        <v>1.145844503</v>
      </c>
      <c r="H10" s="191">
        <f>(D10/Introduction!$I$20)</f>
        <v>0.01909740838</v>
      </c>
      <c r="I10" s="192">
        <f>H10*0.5833</f>
        <v>0.01113951831</v>
      </c>
      <c r="J10" s="124">
        <f>(E10/Introduction!$I$20)*1</f>
        <v>2.910445037</v>
      </c>
      <c r="K10" s="193">
        <f>(F10/Introduction!$I$20)</f>
        <v>0.4850741729</v>
      </c>
      <c r="L10" s="125">
        <f t="shared" si="21"/>
        <v>0.2829437651</v>
      </c>
      <c r="M10" s="1"/>
      <c r="N10" s="1"/>
      <c r="Z10" s="5"/>
      <c r="AA10" s="96"/>
      <c r="AB10" s="76" t="s">
        <v>26</v>
      </c>
      <c r="AC10" s="56">
        <f>IF('Ship Data Imperial'!E11&gt;0,'Ship Data Imperial'!E11,AS10)</f>
        <v>0</v>
      </c>
      <c r="AD10" s="77"/>
      <c r="AE10" s="77"/>
      <c r="AF10" s="171"/>
      <c r="AG10" s="172">
        <f>IF(AC10&gt;0,Masts!$C$13*0.97,0)</f>
        <v>0</v>
      </c>
      <c r="AH10" s="173">
        <f t="shared" si="22"/>
        <v>0</v>
      </c>
      <c r="AI10" s="174">
        <f t="shared" si="23"/>
        <v>0</v>
      </c>
      <c r="AJ10" s="175">
        <f t="shared" si="24"/>
        <v>0</v>
      </c>
      <c r="AK10" s="176">
        <f t="shared" si="5"/>
        <v>0</v>
      </c>
      <c r="AL10" s="172">
        <f t="shared" si="25"/>
        <v>0</v>
      </c>
      <c r="AM10" s="173">
        <f t="shared" si="6"/>
        <v>0</v>
      </c>
      <c r="AN10" s="174">
        <f t="shared" si="7"/>
        <v>0</v>
      </c>
      <c r="AO10" s="176">
        <f t="shared" si="8"/>
        <v>0</v>
      </c>
      <c r="AP10" s="175">
        <f t="shared" si="9"/>
        <v>0</v>
      </c>
      <c r="AQ10" s="172">
        <f t="shared" si="26"/>
        <v>0</v>
      </c>
      <c r="AR10" s="173">
        <f t="shared" si="11"/>
        <v>0</v>
      </c>
      <c r="AS10" s="56">
        <f>'Ship Data Metric'!E11*0.03280839895</f>
        <v>0</v>
      </c>
      <c r="AT10" s="96"/>
      <c r="AU10" s="172">
        <f t="shared" si="12"/>
        <v>0</v>
      </c>
      <c r="AV10" s="173">
        <f t="shared" si="13"/>
        <v>0</v>
      </c>
      <c r="AW10" s="174">
        <f t="shared" si="14"/>
        <v>0</v>
      </c>
      <c r="AX10" s="175">
        <f t="shared" si="15"/>
        <v>0</v>
      </c>
      <c r="AY10" s="176">
        <f t="shared" si="16"/>
        <v>0</v>
      </c>
      <c r="AZ10" s="172">
        <f t="shared" si="17"/>
        <v>0</v>
      </c>
      <c r="BA10" s="173">
        <f t="shared" si="18"/>
        <v>0</v>
      </c>
    </row>
    <row r="11">
      <c r="A11" s="1"/>
      <c r="B11" s="126" t="s">
        <v>153</v>
      </c>
      <c r="C11" s="185">
        <f>C8*0.625</f>
        <v>19.09740838</v>
      </c>
      <c r="D11" s="128">
        <f>D24</f>
        <v>5.19449508</v>
      </c>
      <c r="E11" s="129">
        <f t="shared" si="19"/>
        <v>582.0890075</v>
      </c>
      <c r="F11" s="130">
        <f t="shared" si="20"/>
        <v>131.940175</v>
      </c>
      <c r="G11" s="131">
        <f>(C11/Introduction!$I$20)*12</f>
        <v>2.387176048</v>
      </c>
      <c r="H11" s="186">
        <f>(D11/Introduction!$I$20)</f>
        <v>0.05410932375</v>
      </c>
      <c r="I11" s="187">
        <f>H11*0.5</f>
        <v>0.02705466188</v>
      </c>
      <c r="J11" s="133">
        <f>(E11/Introduction!$I$20)*1</f>
        <v>6.063427161</v>
      </c>
      <c r="K11" s="188">
        <f>(F11/Introduction!$I$20)</f>
        <v>1.374376823</v>
      </c>
      <c r="L11" s="135">
        <f t="shared" si="21"/>
        <v>0.6871884116</v>
      </c>
      <c r="M11" s="1"/>
      <c r="N11" s="1"/>
      <c r="Z11" s="5"/>
      <c r="AA11" s="96"/>
      <c r="AB11" s="76" t="s">
        <v>27</v>
      </c>
      <c r="AC11" s="56">
        <f>IF('Ship Data Imperial'!E12&gt;0,'Ship Data Imperial'!E12,AS11)</f>
        <v>0</v>
      </c>
      <c r="AD11" s="77"/>
      <c r="AE11" s="77"/>
      <c r="AF11" s="171"/>
      <c r="AG11" s="172">
        <f>IF(AC11&gt;0,Masts!$C$13*0.97,0)</f>
        <v>0</v>
      </c>
      <c r="AH11" s="173">
        <f t="shared" si="22"/>
        <v>0</v>
      </c>
      <c r="AI11" s="174">
        <f t="shared" si="23"/>
        <v>0</v>
      </c>
      <c r="AJ11" s="175">
        <f t="shared" si="24"/>
        <v>0</v>
      </c>
      <c r="AK11" s="176">
        <f t="shared" si="5"/>
        <v>0</v>
      </c>
      <c r="AL11" s="172">
        <f t="shared" si="25"/>
        <v>0</v>
      </c>
      <c r="AM11" s="173">
        <f t="shared" si="6"/>
        <v>0</v>
      </c>
      <c r="AN11" s="174">
        <f t="shared" si="7"/>
        <v>0</v>
      </c>
      <c r="AO11" s="176">
        <f t="shared" si="8"/>
        <v>0</v>
      </c>
      <c r="AP11" s="175">
        <f t="shared" si="9"/>
        <v>0</v>
      </c>
      <c r="AQ11" s="172">
        <f t="shared" si="26"/>
        <v>0</v>
      </c>
      <c r="AR11" s="173">
        <f t="shared" si="11"/>
        <v>0</v>
      </c>
      <c r="AS11" s="56">
        <f>'Ship Data Metric'!E12*0.03280839895</f>
        <v>0</v>
      </c>
      <c r="AT11" s="96"/>
      <c r="AU11" s="172">
        <f t="shared" si="12"/>
        <v>0</v>
      </c>
      <c r="AV11" s="173">
        <f t="shared" si="13"/>
        <v>0</v>
      </c>
      <c r="AW11" s="174">
        <f t="shared" si="14"/>
        <v>0</v>
      </c>
      <c r="AX11" s="175">
        <f t="shared" si="15"/>
        <v>0</v>
      </c>
      <c r="AY11" s="176">
        <f t="shared" si="16"/>
        <v>0</v>
      </c>
      <c r="AZ11" s="172">
        <f t="shared" si="17"/>
        <v>0</v>
      </c>
      <c r="BA11" s="173">
        <f t="shared" si="18"/>
        <v>0</v>
      </c>
    </row>
    <row r="12">
      <c r="A12" s="1"/>
      <c r="B12" s="194" t="s">
        <v>128</v>
      </c>
      <c r="C12" s="179">
        <f>AG136</f>
        <v>34.92097533</v>
      </c>
      <c r="D12" s="110">
        <f>AU136</f>
        <v>8.148227577</v>
      </c>
      <c r="E12" s="180">
        <f t="shared" si="19"/>
        <v>1064.391328</v>
      </c>
      <c r="F12" s="112">
        <f t="shared" si="20"/>
        <v>206.9649804</v>
      </c>
      <c r="G12" s="113">
        <f>(C12/Introduction!$I$20)*12</f>
        <v>4.365121916</v>
      </c>
      <c r="H12" s="182">
        <f>(D12/Introduction!$I$20)</f>
        <v>0.08487737059</v>
      </c>
      <c r="I12" s="137">
        <f>AD272</f>
        <v>4.492932686</v>
      </c>
      <c r="J12" s="115">
        <f>(E12/Introduction!$I$20)*1</f>
        <v>11.08740967</v>
      </c>
      <c r="K12" s="184">
        <f>(F12/Introduction!$I$20)</f>
        <v>2.155885213</v>
      </c>
      <c r="L12" s="142">
        <f t="shared" si="21"/>
        <v>114.1204902</v>
      </c>
      <c r="M12" s="1"/>
      <c r="N12" s="1"/>
      <c r="Z12" s="5"/>
      <c r="AA12" s="96"/>
      <c r="AB12" s="76" t="s">
        <v>28</v>
      </c>
      <c r="AC12" s="56">
        <f>IF('Ship Data Imperial'!E13&gt;0,'Ship Data Imperial'!E13,AS12)</f>
        <v>0</v>
      </c>
      <c r="AD12" s="77"/>
      <c r="AE12" s="77"/>
      <c r="AF12" s="171"/>
      <c r="AG12" s="172">
        <f>IF(AC12&gt;0,Masts!$C$13*0.97,0)</f>
        <v>0</v>
      </c>
      <c r="AH12" s="173">
        <f t="shared" si="22"/>
        <v>0</v>
      </c>
      <c r="AI12" s="174">
        <f t="shared" si="23"/>
        <v>0</v>
      </c>
      <c r="AJ12" s="175">
        <f t="shared" si="24"/>
        <v>0</v>
      </c>
      <c r="AK12" s="176">
        <f t="shared" si="5"/>
        <v>0</v>
      </c>
      <c r="AL12" s="172">
        <f t="shared" si="25"/>
        <v>0</v>
      </c>
      <c r="AM12" s="173">
        <f t="shared" si="6"/>
        <v>0</v>
      </c>
      <c r="AN12" s="174">
        <f t="shared" si="7"/>
        <v>0</v>
      </c>
      <c r="AO12" s="176">
        <f t="shared" si="8"/>
        <v>0</v>
      </c>
      <c r="AP12" s="175">
        <f t="shared" si="9"/>
        <v>0</v>
      </c>
      <c r="AQ12" s="172">
        <f t="shared" si="26"/>
        <v>0</v>
      </c>
      <c r="AR12" s="173">
        <f t="shared" si="11"/>
        <v>0</v>
      </c>
      <c r="AS12" s="56">
        <f>'Ship Data Metric'!E13*0.03280839895</f>
        <v>0</v>
      </c>
      <c r="AT12" s="96"/>
      <c r="AU12" s="172">
        <f t="shared" si="12"/>
        <v>0</v>
      </c>
      <c r="AV12" s="173">
        <f t="shared" si="13"/>
        <v>0</v>
      </c>
      <c r="AW12" s="174">
        <f t="shared" si="14"/>
        <v>0</v>
      </c>
      <c r="AX12" s="175">
        <f t="shared" si="15"/>
        <v>0</v>
      </c>
      <c r="AY12" s="176">
        <f t="shared" si="16"/>
        <v>0</v>
      </c>
      <c r="AZ12" s="172">
        <f t="shared" si="17"/>
        <v>0</v>
      </c>
      <c r="BA12" s="173">
        <f t="shared" si="18"/>
        <v>0</v>
      </c>
    </row>
    <row r="13">
      <c r="A13" s="1"/>
      <c r="B13" s="195" t="s">
        <v>154</v>
      </c>
      <c r="C13" s="189">
        <f>AJ136</f>
        <v>24.93357638</v>
      </c>
      <c r="D13" s="120">
        <f>(C13/3)*0.625</f>
        <v>5.19449508</v>
      </c>
      <c r="E13" s="190">
        <f t="shared" si="19"/>
        <v>759.9754082</v>
      </c>
      <c r="F13" s="122">
        <f t="shared" si="20"/>
        <v>131.940175</v>
      </c>
      <c r="G13" s="123">
        <f>(C13/Introduction!$I$20)*12</f>
        <v>3.116697048</v>
      </c>
      <c r="H13" s="191">
        <f>(D13/Introduction!$I$20)</f>
        <v>0.05410932375</v>
      </c>
      <c r="I13" s="192">
        <f>AG272</f>
        <v>0.03091806759</v>
      </c>
      <c r="J13" s="124">
        <f>(E13/Introduction!$I$20)*1</f>
        <v>7.916410502</v>
      </c>
      <c r="K13" s="193">
        <f>(F13/Introduction!$I$20)</f>
        <v>1.374376823</v>
      </c>
      <c r="L13" s="125">
        <f t="shared" si="21"/>
        <v>0.7853189168</v>
      </c>
      <c r="M13" s="1"/>
      <c r="N13" s="1"/>
      <c r="Z13" s="5"/>
      <c r="AA13" s="96"/>
      <c r="AB13" s="76" t="s">
        <v>29</v>
      </c>
      <c r="AC13" s="56">
        <f>IF('Ship Data Imperial'!E14&gt;0,'Ship Data Imperial'!E14,AS13)</f>
        <v>0</v>
      </c>
      <c r="AD13" s="77"/>
      <c r="AE13" s="77"/>
      <c r="AF13" s="171"/>
      <c r="AG13" s="172">
        <f>IF(AC13&gt;0,Masts!$C$13*0.97,0)</f>
        <v>0</v>
      </c>
      <c r="AH13" s="173">
        <f t="shared" si="22"/>
        <v>0</v>
      </c>
      <c r="AI13" s="174">
        <f t="shared" si="23"/>
        <v>0</v>
      </c>
      <c r="AJ13" s="175">
        <f t="shared" si="24"/>
        <v>0</v>
      </c>
      <c r="AK13" s="176">
        <f t="shared" si="5"/>
        <v>0</v>
      </c>
      <c r="AL13" s="172">
        <f t="shared" si="25"/>
        <v>0</v>
      </c>
      <c r="AM13" s="173">
        <f t="shared" si="6"/>
        <v>0</v>
      </c>
      <c r="AN13" s="174">
        <f t="shared" si="7"/>
        <v>0</v>
      </c>
      <c r="AO13" s="176">
        <f t="shared" si="8"/>
        <v>0</v>
      </c>
      <c r="AP13" s="175">
        <f t="shared" si="9"/>
        <v>0</v>
      </c>
      <c r="AQ13" s="172">
        <f t="shared" si="26"/>
        <v>0</v>
      </c>
      <c r="AR13" s="173">
        <f t="shared" si="11"/>
        <v>0</v>
      </c>
      <c r="AS13" s="56">
        <f>'Ship Data Metric'!E14*0.03280839895</f>
        <v>0</v>
      </c>
      <c r="AT13" s="96"/>
      <c r="AU13" s="172">
        <f t="shared" si="12"/>
        <v>0</v>
      </c>
      <c r="AV13" s="173">
        <f t="shared" si="13"/>
        <v>0</v>
      </c>
      <c r="AW13" s="174">
        <f t="shared" si="14"/>
        <v>0</v>
      </c>
      <c r="AX13" s="175">
        <f t="shared" si="15"/>
        <v>0</v>
      </c>
      <c r="AY13" s="176">
        <f t="shared" si="16"/>
        <v>0</v>
      </c>
      <c r="AZ13" s="172">
        <f t="shared" si="17"/>
        <v>0</v>
      </c>
      <c r="BA13" s="173">
        <f t="shared" si="18"/>
        <v>0</v>
      </c>
    </row>
    <row r="14">
      <c r="A14" s="1"/>
      <c r="B14" s="195" t="s">
        <v>155</v>
      </c>
      <c r="C14" s="189">
        <f>AN136</f>
        <v>14.96014583</v>
      </c>
      <c r="D14" s="120">
        <f>AW136</f>
        <v>2.992029166</v>
      </c>
      <c r="E14" s="190">
        <f t="shared" si="19"/>
        <v>455.9852449</v>
      </c>
      <c r="F14" s="122">
        <f t="shared" si="20"/>
        <v>75.99754082</v>
      </c>
      <c r="G14" s="123">
        <f>(C14/Introduction!$I$20)*12</f>
        <v>1.870018229</v>
      </c>
      <c r="H14" s="191">
        <f>(D14/Introduction!$I$20)</f>
        <v>0.03116697048</v>
      </c>
      <c r="I14" s="192">
        <f>AJ272</f>
        <v>0.01780880693</v>
      </c>
      <c r="J14" s="124">
        <f>(E14/Introduction!$I$20)*1</f>
        <v>4.749846301</v>
      </c>
      <c r="K14" s="193">
        <f>(F14/Introduction!$I$20)</f>
        <v>0.7916410502</v>
      </c>
      <c r="L14" s="125">
        <f t="shared" si="21"/>
        <v>0.4523436961</v>
      </c>
      <c r="M14" s="1"/>
      <c r="N14" s="1"/>
      <c r="Z14" s="5"/>
      <c r="AA14" s="75" t="s">
        <v>31</v>
      </c>
      <c r="AB14" s="76" t="s">
        <v>24</v>
      </c>
      <c r="AC14" s="56">
        <f>IF('Ship Data Imperial'!E15&gt;0,'Ship Data Imperial'!E15,AS14)</f>
        <v>0</v>
      </c>
      <c r="AD14" s="77"/>
      <c r="AE14" s="77"/>
      <c r="AF14" s="171"/>
      <c r="AG14" s="172">
        <f>IF(AC14&gt;0,Masts!$C$13*0.97,0)</f>
        <v>0</v>
      </c>
      <c r="AH14" s="173">
        <f t="shared" si="22"/>
        <v>0</v>
      </c>
      <c r="AI14" s="174">
        <f t="shared" si="23"/>
        <v>0</v>
      </c>
      <c r="AJ14" s="175">
        <f t="shared" si="24"/>
        <v>0</v>
      </c>
      <c r="AK14" s="176">
        <f t="shared" si="5"/>
        <v>0</v>
      </c>
      <c r="AL14" s="172">
        <f t="shared" si="25"/>
        <v>0</v>
      </c>
      <c r="AM14" s="173">
        <f t="shared" si="6"/>
        <v>0</v>
      </c>
      <c r="AN14" s="174">
        <f t="shared" si="7"/>
        <v>0</v>
      </c>
      <c r="AO14" s="176">
        <f t="shared" si="8"/>
        <v>0</v>
      </c>
      <c r="AP14" s="175">
        <f t="shared" si="9"/>
        <v>0</v>
      </c>
      <c r="AQ14" s="172">
        <f t="shared" si="26"/>
        <v>0</v>
      </c>
      <c r="AR14" s="173">
        <f t="shared" si="11"/>
        <v>0</v>
      </c>
      <c r="AS14" s="56">
        <f>'Ship Data Metric'!E15*0.03280839895</f>
        <v>0</v>
      </c>
      <c r="AT14" s="75" t="s">
        <v>31</v>
      </c>
      <c r="AU14" s="172">
        <f t="shared" si="12"/>
        <v>0</v>
      </c>
      <c r="AV14" s="173">
        <f t="shared" si="13"/>
        <v>0</v>
      </c>
      <c r="AW14" s="174">
        <f t="shared" si="14"/>
        <v>0</v>
      </c>
      <c r="AX14" s="175">
        <f t="shared" si="15"/>
        <v>0</v>
      </c>
      <c r="AY14" s="176">
        <f t="shared" si="16"/>
        <v>0</v>
      </c>
      <c r="AZ14" s="172">
        <f t="shared" si="17"/>
        <v>0</v>
      </c>
      <c r="BA14" s="173">
        <f t="shared" si="18"/>
        <v>0</v>
      </c>
    </row>
    <row r="15">
      <c r="A15" s="1"/>
      <c r="B15" s="196" t="s">
        <v>156</v>
      </c>
      <c r="C15" s="197">
        <f t="shared" ref="C15:D15" si="28">C14/2</f>
        <v>7.480072915</v>
      </c>
      <c r="D15" s="120">
        <f t="shared" si="28"/>
        <v>1.496014583</v>
      </c>
      <c r="E15" s="190">
        <f t="shared" si="19"/>
        <v>227.9926225</v>
      </c>
      <c r="F15" s="122">
        <f t="shared" si="20"/>
        <v>37.99877041</v>
      </c>
      <c r="G15" s="123">
        <f>(C15/Introduction!$I$20)*12</f>
        <v>0.9350091144</v>
      </c>
      <c r="H15" s="191">
        <f>(D15/Introduction!$I$20)</f>
        <v>0.01558348524</v>
      </c>
      <c r="I15" s="192">
        <f>H15*0.5833</f>
        <v>0.009089846941</v>
      </c>
      <c r="J15" s="124">
        <f>(E15/Introduction!$I$20)*1</f>
        <v>2.374923151</v>
      </c>
      <c r="K15" s="193">
        <f>(F15/Introduction!$I$20)</f>
        <v>0.3958205251</v>
      </c>
      <c r="L15" s="125">
        <f t="shared" si="21"/>
        <v>0.2308821123</v>
      </c>
      <c r="M15" s="1"/>
      <c r="N15" s="1"/>
      <c r="Z15" s="5"/>
      <c r="AA15" s="96"/>
      <c r="AB15" s="76" t="s">
        <v>25</v>
      </c>
      <c r="AC15" s="56">
        <f>IF('Ship Data Imperial'!E16&gt;0,'Ship Data Imperial'!E16,AS15)</f>
        <v>0</v>
      </c>
      <c r="AD15" s="77"/>
      <c r="AE15" s="77"/>
      <c r="AF15" s="171"/>
      <c r="AG15" s="172">
        <f>IF(AC15&gt;0,Masts!$C$13*0.97,0)</f>
        <v>0</v>
      </c>
      <c r="AH15" s="173">
        <f t="shared" si="22"/>
        <v>0</v>
      </c>
      <c r="AI15" s="174">
        <f t="shared" si="23"/>
        <v>0</v>
      </c>
      <c r="AJ15" s="175">
        <f t="shared" si="24"/>
        <v>0</v>
      </c>
      <c r="AK15" s="176">
        <f t="shared" si="5"/>
        <v>0</v>
      </c>
      <c r="AL15" s="172">
        <f t="shared" si="25"/>
        <v>0</v>
      </c>
      <c r="AM15" s="173">
        <f t="shared" si="6"/>
        <v>0</v>
      </c>
      <c r="AN15" s="174">
        <f t="shared" si="7"/>
        <v>0</v>
      </c>
      <c r="AO15" s="176">
        <f t="shared" si="8"/>
        <v>0</v>
      </c>
      <c r="AP15" s="175">
        <f t="shared" si="9"/>
        <v>0</v>
      </c>
      <c r="AQ15" s="172">
        <f t="shared" si="26"/>
        <v>0</v>
      </c>
      <c r="AR15" s="173">
        <f t="shared" si="11"/>
        <v>0</v>
      </c>
      <c r="AS15" s="56">
        <f>'Ship Data Metric'!E16*0.03280839895</f>
        <v>0</v>
      </c>
      <c r="AT15" s="96"/>
      <c r="AU15" s="172">
        <f t="shared" si="12"/>
        <v>0</v>
      </c>
      <c r="AV15" s="173">
        <f t="shared" si="13"/>
        <v>0</v>
      </c>
      <c r="AW15" s="174">
        <f t="shared" si="14"/>
        <v>0</v>
      </c>
      <c r="AX15" s="175">
        <f t="shared" si="15"/>
        <v>0</v>
      </c>
      <c r="AY15" s="176">
        <f t="shared" si="16"/>
        <v>0</v>
      </c>
      <c r="AZ15" s="172">
        <f t="shared" si="17"/>
        <v>0</v>
      </c>
      <c r="BA15" s="173">
        <f t="shared" si="18"/>
        <v>0</v>
      </c>
    </row>
    <row r="16">
      <c r="A16" s="1"/>
      <c r="B16" s="198" t="s">
        <v>157</v>
      </c>
      <c r="C16" s="185">
        <f>C13*0.625</f>
        <v>15.58348524</v>
      </c>
      <c r="D16" s="128">
        <f>D24</f>
        <v>5.19449508</v>
      </c>
      <c r="E16" s="129">
        <f t="shared" si="19"/>
        <v>474.9846301</v>
      </c>
      <c r="F16" s="130">
        <f t="shared" si="20"/>
        <v>131.940175</v>
      </c>
      <c r="G16" s="131">
        <f>(C16/Introduction!$I$20)*12</f>
        <v>1.947935655</v>
      </c>
      <c r="H16" s="186">
        <f>(D16/Introduction!$I$20)</f>
        <v>0.05410932375</v>
      </c>
      <c r="I16" s="187">
        <f>H16*0.5</f>
        <v>0.02705466188</v>
      </c>
      <c r="J16" s="133">
        <f>(E16/Introduction!$I$20)*1</f>
        <v>4.947756564</v>
      </c>
      <c r="K16" s="188">
        <f>(F16/Introduction!$I$20)</f>
        <v>1.374376823</v>
      </c>
      <c r="L16" s="135">
        <f t="shared" si="21"/>
        <v>0.6871884116</v>
      </c>
      <c r="M16" s="1"/>
      <c r="N16" s="1"/>
      <c r="Z16" s="5"/>
      <c r="AA16" s="96"/>
      <c r="AB16" s="76" t="s">
        <v>26</v>
      </c>
      <c r="AC16" s="56">
        <f>IF('Ship Data Imperial'!E17&gt;0,'Ship Data Imperial'!E17,AS16)</f>
        <v>0</v>
      </c>
      <c r="AD16" s="77"/>
      <c r="AE16" s="77"/>
      <c r="AF16" s="171"/>
      <c r="AG16" s="172">
        <f>IF(AC16&gt;0,Masts!$C$13*0.97,0)</f>
        <v>0</v>
      </c>
      <c r="AH16" s="173">
        <f t="shared" si="22"/>
        <v>0</v>
      </c>
      <c r="AI16" s="174">
        <f t="shared" si="23"/>
        <v>0</v>
      </c>
      <c r="AJ16" s="175">
        <f t="shared" si="24"/>
        <v>0</v>
      </c>
      <c r="AK16" s="176">
        <f t="shared" si="5"/>
        <v>0</v>
      </c>
      <c r="AL16" s="172">
        <f t="shared" si="25"/>
        <v>0</v>
      </c>
      <c r="AM16" s="173">
        <f t="shared" si="6"/>
        <v>0</v>
      </c>
      <c r="AN16" s="174">
        <f t="shared" si="7"/>
        <v>0</v>
      </c>
      <c r="AO16" s="176">
        <f t="shared" si="8"/>
        <v>0</v>
      </c>
      <c r="AP16" s="175">
        <f t="shared" si="9"/>
        <v>0</v>
      </c>
      <c r="AQ16" s="172">
        <f t="shared" si="26"/>
        <v>0</v>
      </c>
      <c r="AR16" s="173">
        <f t="shared" si="11"/>
        <v>0</v>
      </c>
      <c r="AS16" s="56">
        <f>'Ship Data Metric'!E17*0.03280839895</f>
        <v>0</v>
      </c>
      <c r="AT16" s="96"/>
      <c r="AU16" s="172">
        <f t="shared" si="12"/>
        <v>0</v>
      </c>
      <c r="AV16" s="173">
        <f t="shared" si="13"/>
        <v>0</v>
      </c>
      <c r="AW16" s="174">
        <f t="shared" si="14"/>
        <v>0</v>
      </c>
      <c r="AX16" s="175">
        <f t="shared" si="15"/>
        <v>0</v>
      </c>
      <c r="AY16" s="176">
        <f t="shared" si="16"/>
        <v>0</v>
      </c>
      <c r="AZ16" s="172">
        <f t="shared" si="17"/>
        <v>0</v>
      </c>
      <c r="BA16" s="173">
        <f t="shared" si="18"/>
        <v>0</v>
      </c>
    </row>
    <row r="17">
      <c r="A17" s="1"/>
      <c r="B17" s="194" t="s">
        <v>158</v>
      </c>
      <c r="C17" s="179">
        <f>AI136</f>
        <v>21.81687934</v>
      </c>
      <c r="D17" s="110">
        <f>AY136</f>
        <v>4.545183195</v>
      </c>
      <c r="E17" s="180">
        <f t="shared" si="19"/>
        <v>664.9784822</v>
      </c>
      <c r="F17" s="112">
        <f t="shared" si="20"/>
        <v>115.4476532</v>
      </c>
      <c r="G17" s="113">
        <f>(C17/Introduction!$I$20)*12</f>
        <v>2.727109917</v>
      </c>
      <c r="H17" s="182">
        <f>(D17/Introduction!$I$20)</f>
        <v>0.04734565828</v>
      </c>
      <c r="I17" s="137">
        <f>AF272</f>
        <v>0.02610639598</v>
      </c>
      <c r="J17" s="115">
        <f>(E17/Introduction!$I$20)*1</f>
        <v>6.926859189</v>
      </c>
      <c r="K17" s="184">
        <f>(F17/Introduction!$I$20)</f>
        <v>1.20257972</v>
      </c>
      <c r="L17" s="142">
        <f t="shared" si="21"/>
        <v>0.6631024578</v>
      </c>
      <c r="M17" s="1"/>
      <c r="N17" s="1"/>
      <c r="Z17" s="5"/>
      <c r="AA17" s="96"/>
      <c r="AB17" s="76" t="s">
        <v>27</v>
      </c>
      <c r="AC17" s="56">
        <f>IF('Ship Data Imperial'!E18&gt;0,'Ship Data Imperial'!E18,AS17)</f>
        <v>0</v>
      </c>
      <c r="AD17" s="77"/>
      <c r="AE17" s="77"/>
      <c r="AF17" s="171"/>
      <c r="AG17" s="172">
        <f>IF(AC17&gt;0,Masts!$C$13*0.97,0)</f>
        <v>0</v>
      </c>
      <c r="AH17" s="173">
        <f t="shared" si="22"/>
        <v>0</v>
      </c>
      <c r="AI17" s="174">
        <f t="shared" si="23"/>
        <v>0</v>
      </c>
      <c r="AJ17" s="175">
        <f t="shared" si="24"/>
        <v>0</v>
      </c>
      <c r="AK17" s="176">
        <f t="shared" si="5"/>
        <v>0</v>
      </c>
      <c r="AL17" s="172">
        <f t="shared" si="25"/>
        <v>0</v>
      </c>
      <c r="AM17" s="173">
        <f t="shared" si="6"/>
        <v>0</v>
      </c>
      <c r="AN17" s="174">
        <f t="shared" si="7"/>
        <v>0</v>
      </c>
      <c r="AO17" s="176">
        <f t="shared" si="8"/>
        <v>0</v>
      </c>
      <c r="AP17" s="175">
        <f t="shared" si="9"/>
        <v>0</v>
      </c>
      <c r="AQ17" s="172">
        <f t="shared" si="26"/>
        <v>0</v>
      </c>
      <c r="AR17" s="173">
        <f t="shared" si="11"/>
        <v>0</v>
      </c>
      <c r="AS17" s="56">
        <f>'Ship Data Metric'!E18*0.03280839895</f>
        <v>0</v>
      </c>
      <c r="AT17" s="96"/>
      <c r="AU17" s="172">
        <f t="shared" si="12"/>
        <v>0</v>
      </c>
      <c r="AV17" s="173">
        <f t="shared" si="13"/>
        <v>0</v>
      </c>
      <c r="AW17" s="174">
        <f t="shared" si="14"/>
        <v>0</v>
      </c>
      <c r="AX17" s="175">
        <f t="shared" si="15"/>
        <v>0</v>
      </c>
      <c r="AY17" s="176">
        <f t="shared" si="16"/>
        <v>0</v>
      </c>
      <c r="AZ17" s="172">
        <f t="shared" si="17"/>
        <v>0</v>
      </c>
      <c r="BA17" s="173">
        <f t="shared" si="18"/>
        <v>0</v>
      </c>
    </row>
    <row r="18">
      <c r="A18" s="1"/>
      <c r="B18" s="199" t="s">
        <v>159</v>
      </c>
      <c r="C18" s="200">
        <f>AL136</f>
        <v>29.09964874</v>
      </c>
      <c r="D18" s="201">
        <f>BA136</f>
        <v>5.222416961</v>
      </c>
      <c r="E18" s="202">
        <f t="shared" si="19"/>
        <v>886.9572936</v>
      </c>
      <c r="F18" s="203">
        <f t="shared" si="20"/>
        <v>132.6493908</v>
      </c>
      <c r="G18" s="204">
        <f>(C18/Introduction!$I$20)*12</f>
        <v>3.637456093</v>
      </c>
      <c r="H18" s="205">
        <f>(D18/Introduction!$I$20)</f>
        <v>0.05440017667</v>
      </c>
      <c r="I18" s="192">
        <f>AM272</f>
        <v>0.032640106</v>
      </c>
      <c r="J18" s="206">
        <f>(E18/Introduction!$I$20)*1</f>
        <v>9.239138475</v>
      </c>
      <c r="K18" s="207">
        <f>(F18/Introduction!$I$20)</f>
        <v>1.381764488</v>
      </c>
      <c r="L18" s="125">
        <f t="shared" si="21"/>
        <v>0.8290586925</v>
      </c>
      <c r="M18" s="1"/>
      <c r="N18" s="1"/>
      <c r="Z18" s="5"/>
      <c r="AA18" s="96"/>
      <c r="AB18" s="76" t="s">
        <v>28</v>
      </c>
      <c r="AC18" s="56">
        <f>IF('Ship Data Imperial'!E19&gt;0,'Ship Data Imperial'!E19,AS18)</f>
        <v>0</v>
      </c>
      <c r="AD18" s="77"/>
      <c r="AE18" s="77"/>
      <c r="AF18" s="171"/>
      <c r="AG18" s="172">
        <f>IF(AC18&gt;0,Masts!$C$13*0.97,0)</f>
        <v>0</v>
      </c>
      <c r="AH18" s="173">
        <f t="shared" si="22"/>
        <v>0</v>
      </c>
      <c r="AI18" s="174">
        <f t="shared" si="23"/>
        <v>0</v>
      </c>
      <c r="AJ18" s="175">
        <f t="shared" si="24"/>
        <v>0</v>
      </c>
      <c r="AK18" s="176">
        <f t="shared" si="5"/>
        <v>0</v>
      </c>
      <c r="AL18" s="172">
        <f t="shared" si="25"/>
        <v>0</v>
      </c>
      <c r="AM18" s="173">
        <f t="shared" si="6"/>
        <v>0</v>
      </c>
      <c r="AN18" s="174">
        <f t="shared" si="7"/>
        <v>0</v>
      </c>
      <c r="AO18" s="176">
        <f t="shared" si="8"/>
        <v>0</v>
      </c>
      <c r="AP18" s="175">
        <f t="shared" si="9"/>
        <v>0</v>
      </c>
      <c r="AQ18" s="172">
        <f t="shared" si="26"/>
        <v>0</v>
      </c>
      <c r="AR18" s="173">
        <f t="shared" si="11"/>
        <v>0</v>
      </c>
      <c r="AS18" s="56">
        <f>'Ship Data Metric'!E19*0.03280839895</f>
        <v>0</v>
      </c>
      <c r="AT18" s="96"/>
      <c r="AU18" s="172">
        <f t="shared" si="12"/>
        <v>0</v>
      </c>
      <c r="AV18" s="173">
        <f t="shared" si="13"/>
        <v>0</v>
      </c>
      <c r="AW18" s="174">
        <f t="shared" si="14"/>
        <v>0</v>
      </c>
      <c r="AX18" s="175">
        <f t="shared" si="15"/>
        <v>0</v>
      </c>
      <c r="AY18" s="176">
        <f t="shared" si="16"/>
        <v>0</v>
      </c>
      <c r="AZ18" s="172">
        <f t="shared" si="17"/>
        <v>0</v>
      </c>
      <c r="BA18" s="173">
        <f t="shared" si="18"/>
        <v>0</v>
      </c>
    </row>
    <row r="19">
      <c r="A19" s="1"/>
      <c r="B19" s="208" t="s">
        <v>160</v>
      </c>
      <c r="C19" s="209"/>
      <c r="D19" s="210"/>
      <c r="E19" s="211"/>
      <c r="F19" s="212"/>
      <c r="G19" s="213"/>
      <c r="H19" s="214"/>
      <c r="I19" s="141">
        <f>AN272</f>
        <v>0.0359041166</v>
      </c>
      <c r="J19" s="215"/>
      <c r="K19" s="216"/>
      <c r="L19" s="125">
        <f t="shared" si="21"/>
        <v>0.9119645618</v>
      </c>
      <c r="M19" s="1"/>
      <c r="N19" s="1"/>
      <c r="Z19" s="5"/>
      <c r="AA19" s="96"/>
      <c r="AB19" s="76" t="s">
        <v>29</v>
      </c>
      <c r="AC19" s="56">
        <f>IF('Ship Data Imperial'!E20&gt;0,'Ship Data Imperial'!E20,AS19)</f>
        <v>0</v>
      </c>
      <c r="AD19" s="77"/>
      <c r="AE19" s="77"/>
      <c r="AF19" s="171"/>
      <c r="AG19" s="172">
        <f>IF(AC19&gt;0,Masts!$C$13*0.97,0)</f>
        <v>0</v>
      </c>
      <c r="AH19" s="173">
        <f t="shared" si="22"/>
        <v>0</v>
      </c>
      <c r="AI19" s="174">
        <f t="shared" si="23"/>
        <v>0</v>
      </c>
      <c r="AJ19" s="175">
        <f t="shared" si="24"/>
        <v>0</v>
      </c>
      <c r="AK19" s="176">
        <f t="shared" si="5"/>
        <v>0</v>
      </c>
      <c r="AL19" s="172">
        <f t="shared" si="25"/>
        <v>0</v>
      </c>
      <c r="AM19" s="173">
        <f t="shared" si="6"/>
        <v>0</v>
      </c>
      <c r="AN19" s="174">
        <f t="shared" si="7"/>
        <v>0</v>
      </c>
      <c r="AO19" s="176">
        <f t="shared" si="8"/>
        <v>0</v>
      </c>
      <c r="AP19" s="175">
        <f t="shared" si="9"/>
        <v>0</v>
      </c>
      <c r="AQ19" s="172">
        <f t="shared" si="26"/>
        <v>0</v>
      </c>
      <c r="AR19" s="173">
        <f t="shared" si="11"/>
        <v>0</v>
      </c>
      <c r="AS19" s="56">
        <f>'Ship Data Metric'!E20*0.03280839895</f>
        <v>0</v>
      </c>
      <c r="AT19" s="96"/>
      <c r="AU19" s="172">
        <f t="shared" si="12"/>
        <v>0</v>
      </c>
      <c r="AV19" s="173">
        <f t="shared" si="13"/>
        <v>0</v>
      </c>
      <c r="AW19" s="174">
        <f t="shared" si="14"/>
        <v>0</v>
      </c>
      <c r="AX19" s="175">
        <f t="shared" si="15"/>
        <v>0</v>
      </c>
      <c r="AY19" s="176">
        <f t="shared" si="16"/>
        <v>0</v>
      </c>
      <c r="AZ19" s="172">
        <f t="shared" si="17"/>
        <v>0</v>
      </c>
      <c r="BA19" s="173">
        <f t="shared" si="18"/>
        <v>0</v>
      </c>
    </row>
    <row r="20">
      <c r="A20" s="1"/>
      <c r="B20" s="195" t="s">
        <v>161</v>
      </c>
      <c r="C20" s="217">
        <f>AM136</f>
        <v>0</v>
      </c>
      <c r="D20" s="218">
        <f>(C20/3)*0.625</f>
        <v>0</v>
      </c>
      <c r="E20" s="190">
        <f t="shared" ref="E20:E24" si="29">C20*30.48</f>
        <v>0</v>
      </c>
      <c r="F20" s="122">
        <f t="shared" ref="F20:F24" si="30">D20*25.4</f>
        <v>0</v>
      </c>
      <c r="G20" s="123">
        <f>(C20/Introduction!$I$20)*12</f>
        <v>0</v>
      </c>
      <c r="H20" s="191">
        <f>(D20/Introduction!$I$20)</f>
        <v>0</v>
      </c>
      <c r="I20" s="192">
        <f>AI272</f>
        <v>0</v>
      </c>
      <c r="J20" s="124">
        <f>(E20/Introduction!$I$20)*1</f>
        <v>0</v>
      </c>
      <c r="K20" s="193">
        <f>(F20/Introduction!$I$20)</f>
        <v>0</v>
      </c>
      <c r="L20" s="125">
        <f t="shared" si="21"/>
        <v>0</v>
      </c>
      <c r="M20" s="1"/>
      <c r="N20" s="1"/>
      <c r="Z20" s="5"/>
      <c r="AA20" s="75" t="s">
        <v>32</v>
      </c>
      <c r="AB20" s="76" t="s">
        <v>24</v>
      </c>
      <c r="AC20" s="56">
        <f>IF('Ship Data Imperial'!E21&gt;0,'Ship Data Imperial'!E21,AS20)</f>
        <v>0</v>
      </c>
      <c r="AD20" s="77"/>
      <c r="AE20" s="77"/>
      <c r="AF20" s="171"/>
      <c r="AG20" s="172">
        <f>IF(AC20&gt;0,Masts!$C$9,0)</f>
        <v>0</v>
      </c>
      <c r="AH20" s="173">
        <f t="shared" ref="AH20:AH55" si="31">IF(AC20&gt;0,$AG$136*0.9,0)</f>
        <v>0</v>
      </c>
      <c r="AI20" s="174">
        <f>IF(AC20&gt;0,Masts!$C$10,0)</f>
        <v>0</v>
      </c>
      <c r="AJ20" s="175">
        <f t="shared" si="24"/>
        <v>0</v>
      </c>
      <c r="AK20" s="176">
        <f t="shared" si="5"/>
        <v>0</v>
      </c>
      <c r="AL20" s="172">
        <f t="shared" ref="AL20:AL61" si="32">IF(AC20&gt;0,$AH$136,0)</f>
        <v>0</v>
      </c>
      <c r="AM20" s="173">
        <f t="shared" si="6"/>
        <v>0</v>
      </c>
      <c r="AN20" s="174">
        <f t="shared" si="7"/>
        <v>0</v>
      </c>
      <c r="AO20" s="176">
        <f t="shared" si="8"/>
        <v>0</v>
      </c>
      <c r="AP20" s="175">
        <f t="shared" si="9"/>
        <v>0</v>
      </c>
      <c r="AQ20" s="172">
        <f t="shared" si="26"/>
        <v>0</v>
      </c>
      <c r="AR20" s="173">
        <f t="shared" si="11"/>
        <v>0</v>
      </c>
      <c r="AS20" s="56">
        <f>'Ship Data Metric'!E21*0.03280839895</f>
        <v>0</v>
      </c>
      <c r="AT20" s="75" t="s">
        <v>108</v>
      </c>
      <c r="AU20" s="172">
        <f t="shared" si="12"/>
        <v>0</v>
      </c>
      <c r="AV20" s="173">
        <f t="shared" si="13"/>
        <v>0</v>
      </c>
      <c r="AW20" s="174">
        <f t="shared" si="14"/>
        <v>0</v>
      </c>
      <c r="AX20" s="175">
        <f t="shared" si="15"/>
        <v>0</v>
      </c>
      <c r="AY20" s="176">
        <f t="shared" si="16"/>
        <v>0</v>
      </c>
      <c r="AZ20" s="172">
        <f t="shared" si="17"/>
        <v>0</v>
      </c>
      <c r="BA20" s="173">
        <f t="shared" si="18"/>
        <v>0</v>
      </c>
    </row>
    <row r="21" ht="15.75" customHeight="1">
      <c r="A21" s="1"/>
      <c r="B21" s="195" t="s">
        <v>162</v>
      </c>
      <c r="C21" s="189">
        <f>AP136</f>
        <v>0</v>
      </c>
      <c r="D21" s="120">
        <f>(C21/3)*0.6</f>
        <v>0</v>
      </c>
      <c r="E21" s="190">
        <f t="shared" si="29"/>
        <v>0</v>
      </c>
      <c r="F21" s="122">
        <f t="shared" si="30"/>
        <v>0</v>
      </c>
      <c r="G21" s="123">
        <f>(C21/Introduction!$I$20)*12</f>
        <v>0</v>
      </c>
      <c r="H21" s="191">
        <f>(D21/Introduction!$I$20)</f>
        <v>0</v>
      </c>
      <c r="I21" s="192">
        <f>AL272</f>
        <v>0</v>
      </c>
      <c r="J21" s="124">
        <f>(E21/Introduction!$I$20)*1</f>
        <v>0</v>
      </c>
      <c r="K21" s="193">
        <f>(F21/Introduction!$I$20)</f>
        <v>0</v>
      </c>
      <c r="L21" s="125">
        <f t="shared" si="21"/>
        <v>0</v>
      </c>
      <c r="M21" s="1"/>
      <c r="N21" s="1"/>
      <c r="Z21" s="5"/>
      <c r="AA21" s="96"/>
      <c r="AB21" s="76" t="s">
        <v>25</v>
      </c>
      <c r="AC21" s="56">
        <f>IF('Ship Data Imperial'!E22&gt;0,'Ship Data Imperial'!E22,AS21)</f>
        <v>0</v>
      </c>
      <c r="AD21" s="77"/>
      <c r="AE21" s="77"/>
      <c r="AF21" s="171"/>
      <c r="AG21" s="172">
        <f>IF(AC21&gt;0,Masts!$C$9,0)</f>
        <v>0</v>
      </c>
      <c r="AH21" s="173">
        <f t="shared" si="31"/>
        <v>0</v>
      </c>
      <c r="AI21" s="174">
        <f>IF(AC21&gt;0,Masts!$C$10,0)</f>
        <v>0</v>
      </c>
      <c r="AJ21" s="175">
        <f t="shared" si="24"/>
        <v>0</v>
      </c>
      <c r="AK21" s="176">
        <f t="shared" si="5"/>
        <v>0</v>
      </c>
      <c r="AL21" s="172">
        <f t="shared" si="32"/>
        <v>0</v>
      </c>
      <c r="AM21" s="173">
        <f t="shared" si="6"/>
        <v>0</v>
      </c>
      <c r="AN21" s="174">
        <f t="shared" si="7"/>
        <v>0</v>
      </c>
      <c r="AO21" s="176">
        <f t="shared" si="8"/>
        <v>0</v>
      </c>
      <c r="AP21" s="175">
        <f t="shared" si="9"/>
        <v>0</v>
      </c>
      <c r="AQ21" s="172">
        <f t="shared" si="26"/>
        <v>0</v>
      </c>
      <c r="AR21" s="173">
        <f t="shared" si="11"/>
        <v>0</v>
      </c>
      <c r="AS21" s="56">
        <f>'Ship Data Metric'!E22*0.03280839895</f>
        <v>0</v>
      </c>
      <c r="AT21" s="96"/>
      <c r="AU21" s="172">
        <f t="shared" si="12"/>
        <v>0</v>
      </c>
      <c r="AV21" s="173">
        <f t="shared" si="13"/>
        <v>0</v>
      </c>
      <c r="AW21" s="174">
        <f t="shared" si="14"/>
        <v>0</v>
      </c>
      <c r="AX21" s="175">
        <f t="shared" si="15"/>
        <v>0</v>
      </c>
      <c r="AY21" s="176">
        <f t="shared" si="16"/>
        <v>0</v>
      </c>
      <c r="AZ21" s="172">
        <f t="shared" si="17"/>
        <v>0</v>
      </c>
      <c r="BA21" s="173">
        <f t="shared" si="18"/>
        <v>0</v>
      </c>
    </row>
    <row r="22" ht="15.75" customHeight="1">
      <c r="A22" s="1"/>
      <c r="B22" s="195" t="s">
        <v>163</v>
      </c>
      <c r="C22" s="189">
        <f t="shared" ref="C22:D22" si="33">C21/2</f>
        <v>0</v>
      </c>
      <c r="D22" s="120">
        <f t="shared" si="33"/>
        <v>0</v>
      </c>
      <c r="E22" s="190">
        <f t="shared" si="29"/>
        <v>0</v>
      </c>
      <c r="F22" s="122">
        <f t="shared" si="30"/>
        <v>0</v>
      </c>
      <c r="G22" s="123">
        <f>(C22/Introduction!$I$20)*12</f>
        <v>0</v>
      </c>
      <c r="H22" s="191">
        <f>(D22/Introduction!$I$20)</f>
        <v>0</v>
      </c>
      <c r="I22" s="192">
        <f>H22*0.5833</f>
        <v>0</v>
      </c>
      <c r="J22" s="124">
        <f>(E22/Introduction!$I$20)*1</f>
        <v>0</v>
      </c>
      <c r="K22" s="193">
        <f>(F22/Introduction!$I$20)</f>
        <v>0</v>
      </c>
      <c r="L22" s="125">
        <f t="shared" si="21"/>
        <v>0</v>
      </c>
      <c r="M22" s="1"/>
      <c r="N22" s="1"/>
      <c r="Z22" s="5"/>
      <c r="AA22" s="96"/>
      <c r="AB22" s="76" t="s">
        <v>26</v>
      </c>
      <c r="AC22" s="56">
        <f>IF('Ship Data Imperial'!E23&gt;0,'Ship Data Imperial'!E23,AS22)</f>
        <v>0</v>
      </c>
      <c r="AD22" s="77"/>
      <c r="AE22" s="77"/>
      <c r="AF22" s="171"/>
      <c r="AG22" s="172">
        <f>IF(AC22&gt;0,Masts!$C$9,0)</f>
        <v>0</v>
      </c>
      <c r="AH22" s="173">
        <f t="shared" si="31"/>
        <v>0</v>
      </c>
      <c r="AI22" s="174">
        <f>IF(AC22&gt;0,Masts!$C$10,0)</f>
        <v>0</v>
      </c>
      <c r="AJ22" s="175">
        <f t="shared" si="24"/>
        <v>0</v>
      </c>
      <c r="AK22" s="176">
        <f t="shared" si="5"/>
        <v>0</v>
      </c>
      <c r="AL22" s="172">
        <f t="shared" si="32"/>
        <v>0</v>
      </c>
      <c r="AM22" s="173">
        <f t="shared" si="6"/>
        <v>0</v>
      </c>
      <c r="AN22" s="174">
        <f t="shared" si="7"/>
        <v>0</v>
      </c>
      <c r="AO22" s="176">
        <f t="shared" si="8"/>
        <v>0</v>
      </c>
      <c r="AP22" s="175">
        <f t="shared" si="9"/>
        <v>0</v>
      </c>
      <c r="AQ22" s="172">
        <f t="shared" si="26"/>
        <v>0</v>
      </c>
      <c r="AR22" s="173">
        <f t="shared" si="11"/>
        <v>0</v>
      </c>
      <c r="AS22" s="56">
        <f>'Ship Data Metric'!E23*0.03280839895</f>
        <v>0</v>
      </c>
      <c r="AT22" s="96"/>
      <c r="AU22" s="172">
        <f t="shared" si="12"/>
        <v>0</v>
      </c>
      <c r="AV22" s="173">
        <f t="shared" si="13"/>
        <v>0</v>
      </c>
      <c r="AW22" s="174">
        <f t="shared" si="14"/>
        <v>0</v>
      </c>
      <c r="AX22" s="175">
        <f t="shared" si="15"/>
        <v>0</v>
      </c>
      <c r="AY22" s="176">
        <f t="shared" si="16"/>
        <v>0</v>
      </c>
      <c r="AZ22" s="172">
        <f t="shared" si="17"/>
        <v>0</v>
      </c>
      <c r="BA22" s="173">
        <f t="shared" si="18"/>
        <v>0</v>
      </c>
    </row>
    <row r="23" ht="15.75" customHeight="1">
      <c r="A23" s="1"/>
      <c r="B23" s="195" t="s">
        <v>164</v>
      </c>
      <c r="C23" s="189">
        <f t="shared" ref="C23:D23" si="34">C9</f>
        <v>18.33351205</v>
      </c>
      <c r="D23" s="120">
        <f t="shared" si="34"/>
        <v>3.666702409</v>
      </c>
      <c r="E23" s="190">
        <f t="shared" si="29"/>
        <v>558.8054472</v>
      </c>
      <c r="F23" s="122">
        <f t="shared" si="30"/>
        <v>93.1342412</v>
      </c>
      <c r="G23" s="123">
        <f>(C23/Introduction!$I$20)*12</f>
        <v>2.291689006</v>
      </c>
      <c r="H23" s="191">
        <f>(D23/Introduction!$I$20)</f>
        <v>0.03819481676</v>
      </c>
      <c r="I23" s="192">
        <f>AO272</f>
        <v>0.0218245183</v>
      </c>
      <c r="J23" s="124">
        <f>(E23/Introduction!$I$20)*1</f>
        <v>5.820890075</v>
      </c>
      <c r="K23" s="193">
        <f>(F23/Introduction!$I$20)</f>
        <v>0.9701483458</v>
      </c>
      <c r="L23" s="125">
        <f t="shared" si="21"/>
        <v>0.5543427648</v>
      </c>
      <c r="M23" s="1"/>
      <c r="N23" s="1"/>
      <c r="Z23" s="5"/>
      <c r="AA23" s="96"/>
      <c r="AB23" s="76" t="s">
        <v>27</v>
      </c>
      <c r="AC23" s="56">
        <f>IF('Ship Data Imperial'!E24&gt;0,'Ship Data Imperial'!E24,AS23)</f>
        <v>0</v>
      </c>
      <c r="AD23" s="77"/>
      <c r="AE23" s="77"/>
      <c r="AF23" s="171"/>
      <c r="AG23" s="172">
        <f>IF(AC23&gt;0,Masts!$C$9,0)</f>
        <v>0</v>
      </c>
      <c r="AH23" s="173">
        <f t="shared" si="31"/>
        <v>0</v>
      </c>
      <c r="AI23" s="174">
        <f>IF(AC23&gt;0,Masts!$C$10,0)</f>
        <v>0</v>
      </c>
      <c r="AJ23" s="175">
        <f t="shared" si="24"/>
        <v>0</v>
      </c>
      <c r="AK23" s="176">
        <f t="shared" si="5"/>
        <v>0</v>
      </c>
      <c r="AL23" s="172">
        <f t="shared" si="32"/>
        <v>0</v>
      </c>
      <c r="AM23" s="173">
        <f t="shared" si="6"/>
        <v>0</v>
      </c>
      <c r="AN23" s="174">
        <f t="shared" si="7"/>
        <v>0</v>
      </c>
      <c r="AO23" s="176">
        <f t="shared" si="8"/>
        <v>0</v>
      </c>
      <c r="AP23" s="175">
        <f t="shared" si="9"/>
        <v>0</v>
      </c>
      <c r="AQ23" s="172">
        <f t="shared" si="26"/>
        <v>0</v>
      </c>
      <c r="AR23" s="173">
        <f t="shared" si="11"/>
        <v>0</v>
      </c>
      <c r="AS23" s="56">
        <f>'Ship Data Metric'!E24*0.03280839895</f>
        <v>0</v>
      </c>
      <c r="AT23" s="96"/>
      <c r="AU23" s="172">
        <f t="shared" si="12"/>
        <v>0</v>
      </c>
      <c r="AV23" s="173">
        <f t="shared" si="13"/>
        <v>0</v>
      </c>
      <c r="AW23" s="174">
        <f t="shared" si="14"/>
        <v>0</v>
      </c>
      <c r="AX23" s="175">
        <f t="shared" si="15"/>
        <v>0</v>
      </c>
      <c r="AY23" s="176">
        <f t="shared" si="16"/>
        <v>0</v>
      </c>
      <c r="AZ23" s="172">
        <f t="shared" si="17"/>
        <v>0</v>
      </c>
      <c r="BA23" s="173">
        <f t="shared" si="18"/>
        <v>0</v>
      </c>
    </row>
    <row r="24" ht="15.75" customHeight="1">
      <c r="A24" s="1"/>
      <c r="B24" s="195" t="s">
        <v>165</v>
      </c>
      <c r="C24" s="200">
        <f>C13</f>
        <v>24.93357638</v>
      </c>
      <c r="D24" s="201">
        <f>(C24/3)*0.625</f>
        <v>5.19449508</v>
      </c>
      <c r="E24" s="202">
        <f t="shared" si="29"/>
        <v>759.9754082</v>
      </c>
      <c r="F24" s="203">
        <f t="shared" si="30"/>
        <v>131.940175</v>
      </c>
      <c r="G24" s="204">
        <f>(C24/Introduction!$I$20)*12</f>
        <v>3.116697048</v>
      </c>
      <c r="H24" s="205">
        <f>(D24/Introduction!$I$20)</f>
        <v>0.05410932375</v>
      </c>
      <c r="I24" s="192">
        <f>H24*0.75</f>
        <v>0.04058199281</v>
      </c>
      <c r="J24" s="206">
        <f>(E24/Introduction!$I$20)*1</f>
        <v>7.916410502</v>
      </c>
      <c r="K24" s="207">
        <f>(F24/Introduction!$I$20)</f>
        <v>1.374376823</v>
      </c>
      <c r="L24" s="125">
        <f t="shared" si="21"/>
        <v>1.030782617</v>
      </c>
      <c r="M24" s="1"/>
      <c r="N24" s="1"/>
      <c r="Z24" s="5"/>
      <c r="AA24" s="96"/>
      <c r="AB24" s="76" t="s">
        <v>28</v>
      </c>
      <c r="AC24" s="56">
        <f>IF('Ship Data Imperial'!E25&gt;0,'Ship Data Imperial'!E25,AS24)</f>
        <v>0</v>
      </c>
      <c r="AD24" s="77"/>
      <c r="AE24" s="77"/>
      <c r="AF24" s="171"/>
      <c r="AG24" s="172">
        <f>IF(AC24&gt;0,Masts!$C$9,0)</f>
        <v>0</v>
      </c>
      <c r="AH24" s="173">
        <f t="shared" si="31"/>
        <v>0</v>
      </c>
      <c r="AI24" s="174">
        <f>IF(AC24&gt;0,Masts!$C$10,0)</f>
        <v>0</v>
      </c>
      <c r="AJ24" s="175">
        <f t="shared" si="24"/>
        <v>0</v>
      </c>
      <c r="AK24" s="176">
        <f t="shared" si="5"/>
        <v>0</v>
      </c>
      <c r="AL24" s="172">
        <f t="shared" si="32"/>
        <v>0</v>
      </c>
      <c r="AM24" s="173">
        <f t="shared" si="6"/>
        <v>0</v>
      </c>
      <c r="AN24" s="174">
        <f t="shared" si="7"/>
        <v>0</v>
      </c>
      <c r="AO24" s="176">
        <f t="shared" si="8"/>
        <v>0</v>
      </c>
      <c r="AP24" s="175">
        <f t="shared" si="9"/>
        <v>0</v>
      </c>
      <c r="AQ24" s="172">
        <f t="shared" si="26"/>
        <v>0</v>
      </c>
      <c r="AR24" s="173">
        <f t="shared" si="11"/>
        <v>0</v>
      </c>
      <c r="AS24" s="56">
        <f>'Ship Data Metric'!E25*0.03280839895</f>
        <v>0</v>
      </c>
      <c r="AT24" s="96"/>
      <c r="AU24" s="172">
        <f t="shared" si="12"/>
        <v>0</v>
      </c>
      <c r="AV24" s="173">
        <f t="shared" si="13"/>
        <v>0</v>
      </c>
      <c r="AW24" s="174">
        <f t="shared" si="14"/>
        <v>0</v>
      </c>
      <c r="AX24" s="175">
        <f t="shared" si="15"/>
        <v>0</v>
      </c>
      <c r="AY24" s="176">
        <f t="shared" si="16"/>
        <v>0</v>
      </c>
      <c r="AZ24" s="172">
        <f t="shared" si="17"/>
        <v>0</v>
      </c>
      <c r="BA24" s="173">
        <f t="shared" si="18"/>
        <v>0</v>
      </c>
    </row>
    <row r="25" ht="15.75" customHeight="1">
      <c r="A25" s="1"/>
      <c r="B25" s="219" t="s">
        <v>166</v>
      </c>
      <c r="C25" s="209"/>
      <c r="D25" s="210"/>
      <c r="E25" s="211"/>
      <c r="F25" s="212"/>
      <c r="G25" s="213"/>
      <c r="H25" s="214"/>
      <c r="I25" s="141">
        <f>H24*0.66</f>
        <v>0.03571215368</v>
      </c>
      <c r="J25" s="215"/>
      <c r="K25" s="216"/>
      <c r="L25" s="125">
        <f t="shared" si="21"/>
        <v>0.9070887034</v>
      </c>
      <c r="M25" s="1"/>
      <c r="N25" s="1"/>
      <c r="Z25" s="5"/>
      <c r="AA25" s="96"/>
      <c r="AB25" s="76" t="s">
        <v>29</v>
      </c>
      <c r="AC25" s="56">
        <f>IF('Ship Data Imperial'!E26&gt;0,'Ship Data Imperial'!E26,AS25)</f>
        <v>0</v>
      </c>
      <c r="AD25" s="77"/>
      <c r="AE25" s="77"/>
      <c r="AF25" s="171"/>
      <c r="AG25" s="172">
        <f>IF(AC25&gt;0,Masts!$C$9,0)</f>
        <v>0</v>
      </c>
      <c r="AH25" s="173">
        <f t="shared" si="31"/>
        <v>0</v>
      </c>
      <c r="AI25" s="174">
        <f>IF(AC25&gt;0,Masts!$C$10,0)</f>
        <v>0</v>
      </c>
      <c r="AJ25" s="175">
        <f t="shared" si="24"/>
        <v>0</v>
      </c>
      <c r="AK25" s="176">
        <f t="shared" si="5"/>
        <v>0</v>
      </c>
      <c r="AL25" s="172">
        <f t="shared" si="32"/>
        <v>0</v>
      </c>
      <c r="AM25" s="173">
        <f t="shared" si="6"/>
        <v>0</v>
      </c>
      <c r="AN25" s="174">
        <f t="shared" si="7"/>
        <v>0</v>
      </c>
      <c r="AO25" s="176">
        <f t="shared" si="8"/>
        <v>0</v>
      </c>
      <c r="AP25" s="175">
        <f t="shared" si="9"/>
        <v>0</v>
      </c>
      <c r="AQ25" s="172">
        <f t="shared" si="26"/>
        <v>0</v>
      </c>
      <c r="AR25" s="173">
        <f t="shared" si="11"/>
        <v>0</v>
      </c>
      <c r="AS25" s="56">
        <f>'Ship Data Metric'!E26*0.03280839895</f>
        <v>0</v>
      </c>
      <c r="AT25" s="96"/>
      <c r="AU25" s="172">
        <f t="shared" si="12"/>
        <v>0</v>
      </c>
      <c r="AV25" s="173">
        <f t="shared" si="13"/>
        <v>0</v>
      </c>
      <c r="AW25" s="174">
        <f t="shared" si="14"/>
        <v>0</v>
      </c>
      <c r="AX25" s="175">
        <f t="shared" si="15"/>
        <v>0</v>
      </c>
      <c r="AY25" s="176">
        <f t="shared" si="16"/>
        <v>0</v>
      </c>
      <c r="AZ25" s="172">
        <f t="shared" si="17"/>
        <v>0</v>
      </c>
      <c r="BA25" s="173">
        <f t="shared" si="18"/>
        <v>0</v>
      </c>
    </row>
    <row r="26" ht="15.75" customHeight="1">
      <c r="A26" s="1"/>
      <c r="B26" s="198" t="s">
        <v>167</v>
      </c>
      <c r="C26" s="185">
        <f>C24*0.625</f>
        <v>15.58348524</v>
      </c>
      <c r="D26" s="128">
        <f>D24</f>
        <v>5.19449508</v>
      </c>
      <c r="E26" s="129">
        <f t="shared" ref="E26:E36" si="35">C26*30.48</f>
        <v>474.9846301</v>
      </c>
      <c r="F26" s="130">
        <f t="shared" ref="F26:F36" si="36">D26*25.4</f>
        <v>131.940175</v>
      </c>
      <c r="G26" s="131">
        <f>(C26/Introduction!$I$20)*12</f>
        <v>1.947935655</v>
      </c>
      <c r="H26" s="186">
        <f>(D26/Introduction!$I$20)</f>
        <v>0.05410932375</v>
      </c>
      <c r="I26" s="187">
        <f>H26*0.5</f>
        <v>0.02705466188</v>
      </c>
      <c r="J26" s="133">
        <f>(E26/Introduction!$I$20)*1</f>
        <v>4.947756564</v>
      </c>
      <c r="K26" s="188">
        <f>(F26/Introduction!$I$20)</f>
        <v>1.374376823</v>
      </c>
      <c r="L26" s="135">
        <f t="shared" si="21"/>
        <v>0.6871884116</v>
      </c>
      <c r="M26" s="1"/>
      <c r="N26" s="1"/>
      <c r="Z26" s="5"/>
      <c r="AA26" s="75" t="s">
        <v>33</v>
      </c>
      <c r="AB26" s="76" t="s">
        <v>24</v>
      </c>
      <c r="AC26" s="56">
        <f>IF('Ship Data Imperial'!E27&gt;0,'Ship Data Imperial'!E27,AS26)</f>
        <v>0</v>
      </c>
      <c r="AD26" s="77"/>
      <c r="AE26" s="77"/>
      <c r="AF26" s="171"/>
      <c r="AG26" s="172">
        <f>IF(AC26&gt;0,Masts!$C$9,0)</f>
        <v>0</v>
      </c>
      <c r="AH26" s="173">
        <f t="shared" si="31"/>
        <v>0</v>
      </c>
      <c r="AI26" s="174">
        <f>IF(AC26&gt;0,Masts!$C$10,0)</f>
        <v>0</v>
      </c>
      <c r="AJ26" s="175">
        <f t="shared" ref="AJ26:AJ55" si="37">IF(AC26&gt;0,$AG$136*0.5,0)</f>
        <v>0</v>
      </c>
      <c r="AK26" s="176">
        <f t="shared" si="5"/>
        <v>0</v>
      </c>
      <c r="AL26" s="172">
        <f t="shared" si="32"/>
        <v>0</v>
      </c>
      <c r="AM26" s="173">
        <f t="shared" si="6"/>
        <v>0</v>
      </c>
      <c r="AN26" s="174">
        <f t="shared" si="7"/>
        <v>0</v>
      </c>
      <c r="AO26" s="176">
        <f t="shared" si="8"/>
        <v>0</v>
      </c>
      <c r="AP26" s="175">
        <f t="shared" si="9"/>
        <v>0</v>
      </c>
      <c r="AQ26" s="172">
        <f t="shared" si="26"/>
        <v>0</v>
      </c>
      <c r="AR26" s="173">
        <f t="shared" si="11"/>
        <v>0</v>
      </c>
      <c r="AS26" s="56">
        <f>'Ship Data Metric'!E27*0.03280839895</f>
        <v>0</v>
      </c>
      <c r="AT26" s="96"/>
      <c r="AU26" s="172">
        <f t="shared" si="12"/>
        <v>0</v>
      </c>
      <c r="AV26" s="173">
        <f t="shared" si="13"/>
        <v>0</v>
      </c>
      <c r="AW26" s="174">
        <f t="shared" si="14"/>
        <v>0</v>
      </c>
      <c r="AX26" s="175">
        <f t="shared" si="15"/>
        <v>0</v>
      </c>
      <c r="AY26" s="176">
        <f t="shared" si="16"/>
        <v>0</v>
      </c>
      <c r="AZ26" s="172">
        <f t="shared" si="17"/>
        <v>0</v>
      </c>
      <c r="BA26" s="173">
        <f t="shared" si="18"/>
        <v>0</v>
      </c>
    </row>
    <row r="27" ht="15.75" customHeight="1">
      <c r="A27" s="1"/>
      <c r="B27" s="194" t="s">
        <v>168</v>
      </c>
      <c r="C27" s="179">
        <f>C12*0.5555</f>
        <v>19.39860179</v>
      </c>
      <c r="D27" s="220">
        <f t="shared" ref="D27:D36" si="38">C27/5</f>
        <v>3.879720359</v>
      </c>
      <c r="E27" s="180">
        <f t="shared" si="35"/>
        <v>591.2693827</v>
      </c>
      <c r="F27" s="112">
        <f t="shared" si="36"/>
        <v>98.54489712</v>
      </c>
      <c r="G27" s="113">
        <f>(C27/Introduction!$I$20)*12</f>
        <v>2.424825224</v>
      </c>
      <c r="H27" s="182">
        <f>(D27/Introduction!$I$20)</f>
        <v>0.04041375374</v>
      </c>
      <c r="I27" s="137">
        <f>H27*0.66</f>
        <v>0.02667307747</v>
      </c>
      <c r="J27" s="115">
        <f>(E27/Introduction!$I$20)*1</f>
        <v>6.15905607</v>
      </c>
      <c r="K27" s="184">
        <f>(F27/Introduction!$I$20)</f>
        <v>1.026509345</v>
      </c>
      <c r="L27" s="142">
        <f t="shared" si="21"/>
        <v>0.6774961677</v>
      </c>
      <c r="M27" s="1"/>
      <c r="N27" s="1"/>
      <c r="Z27" s="5"/>
      <c r="AA27" s="96"/>
      <c r="AB27" s="76" t="s">
        <v>25</v>
      </c>
      <c r="AC27" s="56">
        <f>IF('Ship Data Imperial'!E28&gt;0,'Ship Data Imperial'!E28,AS27)</f>
        <v>0</v>
      </c>
      <c r="AD27" s="77"/>
      <c r="AE27" s="77"/>
      <c r="AF27" s="171"/>
      <c r="AG27" s="172">
        <f>IF(AC27&gt;0,Masts!$C$9,0)</f>
        <v>0</v>
      </c>
      <c r="AH27" s="173">
        <f t="shared" si="31"/>
        <v>0</v>
      </c>
      <c r="AI27" s="174">
        <f>IF(AC27&gt;0,Masts!$C$10,0)</f>
        <v>0</v>
      </c>
      <c r="AJ27" s="175">
        <f t="shared" si="37"/>
        <v>0</v>
      </c>
      <c r="AK27" s="176">
        <f t="shared" si="5"/>
        <v>0</v>
      </c>
      <c r="AL27" s="172">
        <f t="shared" si="32"/>
        <v>0</v>
      </c>
      <c r="AM27" s="173">
        <f t="shared" si="6"/>
        <v>0</v>
      </c>
      <c r="AN27" s="174">
        <f t="shared" si="7"/>
        <v>0</v>
      </c>
      <c r="AO27" s="176">
        <f t="shared" si="8"/>
        <v>0</v>
      </c>
      <c r="AP27" s="175">
        <f t="shared" si="9"/>
        <v>0</v>
      </c>
      <c r="AQ27" s="172">
        <f t="shared" si="26"/>
        <v>0</v>
      </c>
      <c r="AR27" s="173">
        <f t="shared" si="11"/>
        <v>0</v>
      </c>
      <c r="AS27" s="56">
        <f>'Ship Data Metric'!E28*0.03280839895</f>
        <v>0</v>
      </c>
      <c r="AT27" s="96"/>
      <c r="AU27" s="172">
        <f t="shared" si="12"/>
        <v>0</v>
      </c>
      <c r="AV27" s="173">
        <f t="shared" si="13"/>
        <v>0</v>
      </c>
      <c r="AW27" s="174">
        <f t="shared" si="14"/>
        <v>0</v>
      </c>
      <c r="AX27" s="175">
        <f t="shared" si="15"/>
        <v>0</v>
      </c>
      <c r="AY27" s="176">
        <f t="shared" si="16"/>
        <v>0</v>
      </c>
      <c r="AZ27" s="172">
        <f t="shared" si="17"/>
        <v>0</v>
      </c>
      <c r="BA27" s="173">
        <f t="shared" si="18"/>
        <v>0</v>
      </c>
    </row>
    <row r="28" ht="15.75" customHeight="1">
      <c r="A28" s="1"/>
      <c r="B28" s="195" t="s">
        <v>169</v>
      </c>
      <c r="C28" s="189">
        <f>C27*0.5714</f>
        <v>11.08436107</v>
      </c>
      <c r="D28" s="120">
        <f t="shared" si="38"/>
        <v>2.216872213</v>
      </c>
      <c r="E28" s="190">
        <f t="shared" si="35"/>
        <v>337.8513253</v>
      </c>
      <c r="F28" s="122">
        <f t="shared" si="36"/>
        <v>56.30855421</v>
      </c>
      <c r="G28" s="123">
        <f>(C28/Introduction!$I$20)*12</f>
        <v>1.385545133</v>
      </c>
      <c r="H28" s="191">
        <f>(D28/Introduction!$I$20)</f>
        <v>0.02309241889</v>
      </c>
      <c r="I28" s="192">
        <f>AU272</f>
        <v>0.01319500815</v>
      </c>
      <c r="J28" s="124">
        <f>(E28/Introduction!$I$20)*1</f>
        <v>3.519284638</v>
      </c>
      <c r="K28" s="193">
        <f>(F28/Introduction!$I$20)</f>
        <v>0.5865474397</v>
      </c>
      <c r="L28" s="125">
        <f t="shared" si="21"/>
        <v>0.3351532071</v>
      </c>
      <c r="M28" s="1"/>
      <c r="N28" s="1"/>
      <c r="Z28" s="5"/>
      <c r="AA28" s="96"/>
      <c r="AB28" s="76" t="s">
        <v>26</v>
      </c>
      <c r="AC28" s="56">
        <f>IF('Ship Data Imperial'!E29&gt;0,'Ship Data Imperial'!E29,AS28)</f>
        <v>0</v>
      </c>
      <c r="AD28" s="77"/>
      <c r="AE28" s="77"/>
      <c r="AF28" s="171"/>
      <c r="AG28" s="172">
        <f>IF(AC28&gt;0,Masts!$C$9,0)</f>
        <v>0</v>
      </c>
      <c r="AH28" s="173">
        <f t="shared" si="31"/>
        <v>0</v>
      </c>
      <c r="AI28" s="174">
        <f>IF(AC28&gt;0,Masts!$C$10,0)</f>
        <v>0</v>
      </c>
      <c r="AJ28" s="175">
        <f t="shared" si="37"/>
        <v>0</v>
      </c>
      <c r="AK28" s="176">
        <f t="shared" si="5"/>
        <v>0</v>
      </c>
      <c r="AL28" s="172">
        <f t="shared" si="32"/>
        <v>0</v>
      </c>
      <c r="AM28" s="173">
        <f t="shared" si="6"/>
        <v>0</v>
      </c>
      <c r="AN28" s="174">
        <f t="shared" si="7"/>
        <v>0</v>
      </c>
      <c r="AO28" s="176">
        <f t="shared" si="8"/>
        <v>0</v>
      </c>
      <c r="AP28" s="175">
        <f t="shared" si="9"/>
        <v>0</v>
      </c>
      <c r="AQ28" s="172">
        <f t="shared" si="26"/>
        <v>0</v>
      </c>
      <c r="AR28" s="173">
        <f t="shared" si="11"/>
        <v>0</v>
      </c>
      <c r="AS28" s="56">
        <f>'Ship Data Metric'!E29*0.03280839895</f>
        <v>0</v>
      </c>
      <c r="AT28" s="96"/>
      <c r="AU28" s="172">
        <f t="shared" si="12"/>
        <v>0</v>
      </c>
      <c r="AV28" s="173">
        <f t="shared" si="13"/>
        <v>0</v>
      </c>
      <c r="AW28" s="174">
        <f t="shared" si="14"/>
        <v>0</v>
      </c>
      <c r="AX28" s="175">
        <f t="shared" si="15"/>
        <v>0</v>
      </c>
      <c r="AY28" s="176">
        <f t="shared" si="16"/>
        <v>0</v>
      </c>
      <c r="AZ28" s="172">
        <f t="shared" si="17"/>
        <v>0</v>
      </c>
      <c r="BA28" s="173">
        <f t="shared" si="18"/>
        <v>0</v>
      </c>
    </row>
    <row r="29" ht="15.75" customHeight="1">
      <c r="A29" s="1"/>
      <c r="B29" s="195" t="s">
        <v>170</v>
      </c>
      <c r="C29" s="189">
        <f>C8/2</f>
        <v>15.27792671</v>
      </c>
      <c r="D29" s="120">
        <f t="shared" si="38"/>
        <v>3.055585341</v>
      </c>
      <c r="E29" s="190">
        <f t="shared" si="35"/>
        <v>465.671206</v>
      </c>
      <c r="F29" s="122">
        <f t="shared" si="36"/>
        <v>77.61186767</v>
      </c>
      <c r="G29" s="123">
        <f>(C29/Introduction!$I$20)*12</f>
        <v>1.909740838</v>
      </c>
      <c r="H29" s="191">
        <f>(D29/Introduction!$I$20)</f>
        <v>0.03182901397</v>
      </c>
      <c r="I29" s="192">
        <f>H29*0.66</f>
        <v>0.02100714922</v>
      </c>
      <c r="J29" s="124">
        <f>(E29/Introduction!$I$20)*1</f>
        <v>4.850741729</v>
      </c>
      <c r="K29" s="193">
        <f>(F29/Introduction!$I$20)</f>
        <v>0.8084569549</v>
      </c>
      <c r="L29" s="125">
        <f t="shared" si="21"/>
        <v>0.5335815902</v>
      </c>
      <c r="M29" s="1"/>
      <c r="N29" s="1"/>
      <c r="Z29" s="5"/>
      <c r="AA29" s="96"/>
      <c r="AB29" s="76" t="s">
        <v>27</v>
      </c>
      <c r="AC29" s="56">
        <f>IF('Ship Data Imperial'!E30&gt;0,'Ship Data Imperial'!E30,AS29)</f>
        <v>0</v>
      </c>
      <c r="AD29" s="77"/>
      <c r="AE29" s="77"/>
      <c r="AF29" s="171"/>
      <c r="AG29" s="172">
        <f>IF(AC29&gt;0,Masts!$C$9,0)</f>
        <v>0</v>
      </c>
      <c r="AH29" s="173">
        <f t="shared" si="31"/>
        <v>0</v>
      </c>
      <c r="AI29" s="174">
        <f>IF(AC29&gt;0,Masts!$C$10,0)</f>
        <v>0</v>
      </c>
      <c r="AJ29" s="175">
        <f t="shared" si="37"/>
        <v>0</v>
      </c>
      <c r="AK29" s="176">
        <f t="shared" si="5"/>
        <v>0</v>
      </c>
      <c r="AL29" s="172">
        <f t="shared" si="32"/>
        <v>0</v>
      </c>
      <c r="AM29" s="173">
        <f t="shared" si="6"/>
        <v>0</v>
      </c>
      <c r="AN29" s="174">
        <f t="shared" si="7"/>
        <v>0</v>
      </c>
      <c r="AO29" s="176">
        <f t="shared" si="8"/>
        <v>0</v>
      </c>
      <c r="AP29" s="175">
        <f t="shared" si="9"/>
        <v>0</v>
      </c>
      <c r="AQ29" s="172">
        <f t="shared" si="26"/>
        <v>0</v>
      </c>
      <c r="AR29" s="173">
        <f t="shared" si="11"/>
        <v>0</v>
      </c>
      <c r="AS29" s="56">
        <f>'Ship Data Metric'!E30*0.03280839895</f>
        <v>0</v>
      </c>
      <c r="AT29" s="96"/>
      <c r="AU29" s="172">
        <f t="shared" si="12"/>
        <v>0</v>
      </c>
      <c r="AV29" s="173">
        <f t="shared" si="13"/>
        <v>0</v>
      </c>
      <c r="AW29" s="174">
        <f t="shared" si="14"/>
        <v>0</v>
      </c>
      <c r="AX29" s="175">
        <f t="shared" si="15"/>
        <v>0</v>
      </c>
      <c r="AY29" s="176">
        <f t="shared" si="16"/>
        <v>0</v>
      </c>
      <c r="AZ29" s="172">
        <f t="shared" si="17"/>
        <v>0</v>
      </c>
      <c r="BA29" s="173">
        <f t="shared" si="18"/>
        <v>0</v>
      </c>
    </row>
    <row r="30" ht="15.75" customHeight="1">
      <c r="A30" s="1"/>
      <c r="B30" s="195" t="s">
        <v>171</v>
      </c>
      <c r="C30" s="197">
        <f>C29*0.5714</f>
        <v>8.72980732</v>
      </c>
      <c r="D30" s="120">
        <f t="shared" si="38"/>
        <v>1.745961464</v>
      </c>
      <c r="E30" s="190">
        <f t="shared" si="35"/>
        <v>266.0845271</v>
      </c>
      <c r="F30" s="122">
        <f t="shared" si="36"/>
        <v>44.34742118</v>
      </c>
      <c r="G30" s="123">
        <f>(C30/Introduction!$I$20)*12</f>
        <v>1.091225915</v>
      </c>
      <c r="H30" s="191">
        <f>(D30/Introduction!$I$20)</f>
        <v>0.01818709858</v>
      </c>
      <c r="I30" s="192">
        <f>AV272</f>
        <v>0.01039210813</v>
      </c>
      <c r="J30" s="124">
        <f>(E30/Introduction!$I$20)*1</f>
        <v>2.771713824</v>
      </c>
      <c r="K30" s="193">
        <f>(F30/Introduction!$I$20)</f>
        <v>0.461952304</v>
      </c>
      <c r="L30" s="125">
        <f t="shared" si="21"/>
        <v>0.2639595465</v>
      </c>
      <c r="M30" s="1"/>
      <c r="N30" s="1"/>
      <c r="Z30" s="5"/>
      <c r="AA30" s="96"/>
      <c r="AB30" s="76" t="s">
        <v>28</v>
      </c>
      <c r="AC30" s="56">
        <f>IF('Ship Data Imperial'!E31&gt;0,'Ship Data Imperial'!E31,AS30)</f>
        <v>0</v>
      </c>
      <c r="AD30" s="77"/>
      <c r="AE30" s="77"/>
      <c r="AF30" s="171"/>
      <c r="AG30" s="172">
        <f>IF(AC30&gt;0,Masts!$C$9,0)</f>
        <v>0</v>
      </c>
      <c r="AH30" s="173">
        <f t="shared" si="31"/>
        <v>0</v>
      </c>
      <c r="AI30" s="174">
        <f>IF(AC30&gt;0,Masts!$C$10,0)</f>
        <v>0</v>
      </c>
      <c r="AJ30" s="175">
        <f t="shared" si="37"/>
        <v>0</v>
      </c>
      <c r="AK30" s="176">
        <f t="shared" si="5"/>
        <v>0</v>
      </c>
      <c r="AL30" s="172">
        <f t="shared" si="32"/>
        <v>0</v>
      </c>
      <c r="AM30" s="173">
        <f t="shared" si="6"/>
        <v>0</v>
      </c>
      <c r="AN30" s="174">
        <f t="shared" si="7"/>
        <v>0</v>
      </c>
      <c r="AO30" s="176">
        <f t="shared" si="8"/>
        <v>0</v>
      </c>
      <c r="AP30" s="175">
        <f t="shared" si="9"/>
        <v>0</v>
      </c>
      <c r="AQ30" s="172">
        <f t="shared" si="26"/>
        <v>0</v>
      </c>
      <c r="AR30" s="173">
        <f t="shared" si="11"/>
        <v>0</v>
      </c>
      <c r="AS30" s="56">
        <f>'Ship Data Metric'!E31*0.03280839895</f>
        <v>0</v>
      </c>
      <c r="AT30" s="96"/>
      <c r="AU30" s="172">
        <f t="shared" si="12"/>
        <v>0</v>
      </c>
      <c r="AV30" s="173">
        <f t="shared" si="13"/>
        <v>0</v>
      </c>
      <c r="AW30" s="174">
        <f t="shared" si="14"/>
        <v>0</v>
      </c>
      <c r="AX30" s="175">
        <f t="shared" si="15"/>
        <v>0</v>
      </c>
      <c r="AY30" s="176">
        <f t="shared" si="16"/>
        <v>0</v>
      </c>
      <c r="AZ30" s="172">
        <f t="shared" si="17"/>
        <v>0</v>
      </c>
      <c r="BA30" s="173">
        <f t="shared" si="18"/>
        <v>0</v>
      </c>
    </row>
    <row r="31" ht="15.75" customHeight="1">
      <c r="A31" s="1"/>
      <c r="B31" s="195" t="s">
        <v>172</v>
      </c>
      <c r="C31" s="119">
        <f>C13/2</f>
        <v>12.46678819</v>
      </c>
      <c r="D31" s="120">
        <f t="shared" si="38"/>
        <v>2.493357638</v>
      </c>
      <c r="E31" s="190">
        <f t="shared" si="35"/>
        <v>379.9877041</v>
      </c>
      <c r="F31" s="122">
        <f t="shared" si="36"/>
        <v>63.33128402</v>
      </c>
      <c r="G31" s="123">
        <f>(C31/Introduction!$I$20)*12</f>
        <v>1.558348524</v>
      </c>
      <c r="H31" s="191">
        <f>(D31/Introduction!$I$20)</f>
        <v>0.0259724754</v>
      </c>
      <c r="I31" s="192">
        <f>H31*0.66</f>
        <v>0.01714183376</v>
      </c>
      <c r="J31" s="124">
        <f>(E31/Introduction!$I$20)*1</f>
        <v>3.958205251</v>
      </c>
      <c r="K31" s="193">
        <f>(F31/Introduction!$I$20)</f>
        <v>0.6597008752</v>
      </c>
      <c r="L31" s="125">
        <f t="shared" si="21"/>
        <v>0.4354025776</v>
      </c>
      <c r="M31" s="1"/>
      <c r="N31" s="1"/>
      <c r="Z31" s="5"/>
      <c r="AA31" s="96"/>
      <c r="AB31" s="76" t="s">
        <v>29</v>
      </c>
      <c r="AC31" s="56">
        <f>IF('Ship Data Imperial'!E32&gt;0,'Ship Data Imperial'!E32,AS31)</f>
        <v>0</v>
      </c>
      <c r="AD31" s="77"/>
      <c r="AE31" s="77"/>
      <c r="AF31" s="171"/>
      <c r="AG31" s="172">
        <f>IF(AC31&gt;0,Masts!$C$9,0)</f>
        <v>0</v>
      </c>
      <c r="AH31" s="173">
        <f t="shared" si="31"/>
        <v>0</v>
      </c>
      <c r="AI31" s="174">
        <f>IF(AC31&gt;0,Masts!$C$10,0)</f>
        <v>0</v>
      </c>
      <c r="AJ31" s="175">
        <f t="shared" si="37"/>
        <v>0</v>
      </c>
      <c r="AK31" s="176">
        <f t="shared" si="5"/>
        <v>0</v>
      </c>
      <c r="AL31" s="172">
        <f t="shared" si="32"/>
        <v>0</v>
      </c>
      <c r="AM31" s="173">
        <f t="shared" si="6"/>
        <v>0</v>
      </c>
      <c r="AN31" s="174">
        <f t="shared" si="7"/>
        <v>0</v>
      </c>
      <c r="AO31" s="176">
        <f t="shared" si="8"/>
        <v>0</v>
      </c>
      <c r="AP31" s="175">
        <f t="shared" si="9"/>
        <v>0</v>
      </c>
      <c r="AQ31" s="172">
        <f t="shared" si="26"/>
        <v>0</v>
      </c>
      <c r="AR31" s="173">
        <f t="shared" si="11"/>
        <v>0</v>
      </c>
      <c r="AS31" s="56">
        <f>'Ship Data Metric'!E32*0.03280839895</f>
        <v>0</v>
      </c>
      <c r="AT31" s="96"/>
      <c r="AU31" s="172">
        <f t="shared" si="12"/>
        <v>0</v>
      </c>
      <c r="AV31" s="173">
        <f t="shared" si="13"/>
        <v>0</v>
      </c>
      <c r="AW31" s="174">
        <f t="shared" si="14"/>
        <v>0</v>
      </c>
      <c r="AX31" s="175">
        <f t="shared" si="15"/>
        <v>0</v>
      </c>
      <c r="AY31" s="176">
        <f t="shared" si="16"/>
        <v>0</v>
      </c>
      <c r="AZ31" s="172">
        <f t="shared" si="17"/>
        <v>0</v>
      </c>
      <c r="BA31" s="173">
        <f t="shared" si="18"/>
        <v>0</v>
      </c>
    </row>
    <row r="32" ht="15.75" customHeight="1">
      <c r="A32" s="1"/>
      <c r="B32" s="195" t="s">
        <v>173</v>
      </c>
      <c r="C32" s="197">
        <f>C31*0.5714</f>
        <v>7.123522773</v>
      </c>
      <c r="D32" s="120">
        <f t="shared" si="38"/>
        <v>1.424704555</v>
      </c>
      <c r="E32" s="190">
        <f t="shared" si="35"/>
        <v>217.1249741</v>
      </c>
      <c r="F32" s="122">
        <f t="shared" si="36"/>
        <v>36.18749569</v>
      </c>
      <c r="G32" s="123">
        <f>(C32/Introduction!$I$20)*12</f>
        <v>0.8904403466</v>
      </c>
      <c r="H32" s="191">
        <f>(D32/Introduction!$I$20)</f>
        <v>0.01484067244</v>
      </c>
      <c r="I32" s="192">
        <f>AW272</f>
        <v>0.008479960234</v>
      </c>
      <c r="J32" s="124">
        <f>(E32/Introduction!$I$20)*1</f>
        <v>2.26171848</v>
      </c>
      <c r="K32" s="193">
        <f>(F32/Introduction!$I$20)</f>
        <v>0.3769530801</v>
      </c>
      <c r="L32" s="125">
        <f t="shared" si="21"/>
        <v>0.21539099</v>
      </c>
      <c r="M32" s="1"/>
      <c r="N32" s="1"/>
      <c r="V32" s="54"/>
      <c r="Z32" s="5"/>
      <c r="AA32" s="75" t="s">
        <v>34</v>
      </c>
      <c r="AB32" s="76" t="s">
        <v>24</v>
      </c>
      <c r="AC32" s="56">
        <f>IF('Ship Data Imperial'!E33&gt;0,'Ship Data Imperial'!E33,AS32)</f>
        <v>0</v>
      </c>
      <c r="AD32" s="77"/>
      <c r="AE32" s="77"/>
      <c r="AF32" s="171"/>
      <c r="AG32" s="172">
        <f>IF(AC32&gt;0,Masts!$C$9,0)</f>
        <v>0</v>
      </c>
      <c r="AH32" s="173">
        <f t="shared" si="31"/>
        <v>0</v>
      </c>
      <c r="AI32" s="174">
        <f>IF(AC32&gt;0,Masts!$C$10,0)</f>
        <v>0</v>
      </c>
      <c r="AJ32" s="175">
        <f t="shared" si="37"/>
        <v>0</v>
      </c>
      <c r="AK32" s="176">
        <f t="shared" si="5"/>
        <v>0</v>
      </c>
      <c r="AL32" s="172">
        <f t="shared" si="32"/>
        <v>0</v>
      </c>
      <c r="AM32" s="173">
        <f t="shared" si="6"/>
        <v>0</v>
      </c>
      <c r="AN32" s="174">
        <f t="shared" si="7"/>
        <v>0</v>
      </c>
      <c r="AO32" s="176">
        <f t="shared" si="8"/>
        <v>0</v>
      </c>
      <c r="AP32" s="175">
        <f t="shared" si="9"/>
        <v>0</v>
      </c>
      <c r="AQ32" s="172">
        <f t="shared" si="26"/>
        <v>0</v>
      </c>
      <c r="AR32" s="173">
        <f t="shared" si="11"/>
        <v>0</v>
      </c>
      <c r="AS32" s="56">
        <f>'Ship Data Metric'!E33*0.03280839895</f>
        <v>0</v>
      </c>
      <c r="AT32" s="75" t="s">
        <v>34</v>
      </c>
      <c r="AU32" s="172">
        <f t="shared" si="12"/>
        <v>0</v>
      </c>
      <c r="AV32" s="173">
        <f t="shared" si="13"/>
        <v>0</v>
      </c>
      <c r="AW32" s="174">
        <f t="shared" si="14"/>
        <v>0</v>
      </c>
      <c r="AX32" s="175">
        <f t="shared" si="15"/>
        <v>0</v>
      </c>
      <c r="AY32" s="176">
        <f t="shared" si="16"/>
        <v>0</v>
      </c>
      <c r="AZ32" s="172">
        <f t="shared" si="17"/>
        <v>0</v>
      </c>
      <c r="BA32" s="173">
        <f t="shared" si="18"/>
        <v>0</v>
      </c>
    </row>
    <row r="33" ht="15.75" customHeight="1">
      <c r="A33" s="1"/>
      <c r="B33" s="195" t="s">
        <v>174</v>
      </c>
      <c r="C33" s="119">
        <f>C9/2</f>
        <v>9.166756024</v>
      </c>
      <c r="D33" s="120">
        <f t="shared" si="38"/>
        <v>1.833351205</v>
      </c>
      <c r="E33" s="190">
        <f t="shared" si="35"/>
        <v>279.4027236</v>
      </c>
      <c r="F33" s="122">
        <f t="shared" si="36"/>
        <v>46.5671206</v>
      </c>
      <c r="G33" s="123">
        <f>(C33/Introduction!$I$20)*12</f>
        <v>1.145844503</v>
      </c>
      <c r="H33" s="191">
        <f>(D33/Introduction!$I$20)</f>
        <v>0.01909740838</v>
      </c>
      <c r="I33" s="192">
        <f>H33*0.66</f>
        <v>0.01260428953</v>
      </c>
      <c r="J33" s="124">
        <f>(E33/Introduction!$I$20)*1</f>
        <v>2.910445037</v>
      </c>
      <c r="K33" s="193">
        <f>(F33/Introduction!$I$20)</f>
        <v>0.4850741729</v>
      </c>
      <c r="L33" s="125">
        <f t="shared" si="21"/>
        <v>0.3201489541</v>
      </c>
      <c r="M33" s="1"/>
      <c r="N33" s="1"/>
      <c r="V33" s="54"/>
      <c r="Z33" s="5"/>
      <c r="AA33" s="96"/>
      <c r="AB33" s="76" t="s">
        <v>25</v>
      </c>
      <c r="AC33" s="56">
        <f>IF('Ship Data Imperial'!E34&gt;0,'Ship Data Imperial'!E34,AS33)</f>
        <v>0</v>
      </c>
      <c r="AD33" s="77"/>
      <c r="AE33" s="77"/>
      <c r="AF33" s="171"/>
      <c r="AG33" s="172">
        <f>IF(AC33&gt;0,Masts!$C$9,0)</f>
        <v>0</v>
      </c>
      <c r="AH33" s="173">
        <f t="shared" si="31"/>
        <v>0</v>
      </c>
      <c r="AI33" s="174">
        <f>IF(AC33&gt;0,Masts!$C$10,0)</f>
        <v>0</v>
      </c>
      <c r="AJ33" s="175">
        <f t="shared" si="37"/>
        <v>0</v>
      </c>
      <c r="AK33" s="176">
        <f t="shared" si="5"/>
        <v>0</v>
      </c>
      <c r="AL33" s="172">
        <f t="shared" si="32"/>
        <v>0</v>
      </c>
      <c r="AM33" s="173">
        <f t="shared" si="6"/>
        <v>0</v>
      </c>
      <c r="AN33" s="174">
        <f t="shared" si="7"/>
        <v>0</v>
      </c>
      <c r="AO33" s="176">
        <f t="shared" si="8"/>
        <v>0</v>
      </c>
      <c r="AP33" s="175">
        <f t="shared" si="9"/>
        <v>0</v>
      </c>
      <c r="AQ33" s="172">
        <f t="shared" si="26"/>
        <v>0</v>
      </c>
      <c r="AR33" s="173">
        <f t="shared" si="11"/>
        <v>0</v>
      </c>
      <c r="AS33" s="56">
        <f>'Ship Data Metric'!E34*0.03280839895</f>
        <v>0</v>
      </c>
      <c r="AT33" s="96"/>
      <c r="AU33" s="172">
        <f t="shared" si="12"/>
        <v>0</v>
      </c>
      <c r="AV33" s="173">
        <f t="shared" si="13"/>
        <v>0</v>
      </c>
      <c r="AW33" s="174">
        <f t="shared" si="14"/>
        <v>0</v>
      </c>
      <c r="AX33" s="175">
        <f t="shared" si="15"/>
        <v>0</v>
      </c>
      <c r="AY33" s="176">
        <f t="shared" si="16"/>
        <v>0</v>
      </c>
      <c r="AZ33" s="172">
        <f t="shared" si="17"/>
        <v>0</v>
      </c>
      <c r="BA33" s="173">
        <f t="shared" si="18"/>
        <v>0</v>
      </c>
    </row>
    <row r="34" ht="15.75" customHeight="1">
      <c r="A34" s="1"/>
      <c r="B34" s="195" t="s">
        <v>175</v>
      </c>
      <c r="C34" s="197">
        <f>C33*0.5714</f>
        <v>5.237884392</v>
      </c>
      <c r="D34" s="120">
        <f t="shared" si="38"/>
        <v>1.047576878</v>
      </c>
      <c r="E34" s="190">
        <f t="shared" si="35"/>
        <v>159.6507163</v>
      </c>
      <c r="F34" s="122">
        <f t="shared" si="36"/>
        <v>26.60845271</v>
      </c>
      <c r="G34" s="123">
        <f>(C34/Introduction!$I$20)*12</f>
        <v>0.654735549</v>
      </c>
      <c r="H34" s="191">
        <f>(D34/Introduction!$I$20)</f>
        <v>0.01091225915</v>
      </c>
      <c r="I34" s="192">
        <f>AX272</f>
        <v>0.006235264878</v>
      </c>
      <c r="J34" s="124">
        <f>(E34/Introduction!$I$20)*1</f>
        <v>1.663028294</v>
      </c>
      <c r="K34" s="193">
        <f>(F34/Introduction!$I$20)</f>
        <v>0.2771713824</v>
      </c>
      <c r="L34" s="125">
        <f t="shared" si="21"/>
        <v>0.1583757279</v>
      </c>
      <c r="M34" s="1"/>
      <c r="N34" s="1"/>
      <c r="Z34" s="5"/>
      <c r="AA34" s="96"/>
      <c r="AB34" s="76" t="s">
        <v>26</v>
      </c>
      <c r="AC34" s="56">
        <f>IF('Ship Data Imperial'!E35&gt;0,'Ship Data Imperial'!E35,AS34)</f>
        <v>0</v>
      </c>
      <c r="AD34" s="77"/>
      <c r="AE34" s="77"/>
      <c r="AF34" s="171"/>
      <c r="AG34" s="172">
        <f>IF(AC34&gt;0,Masts!$C$9,0)</f>
        <v>0</v>
      </c>
      <c r="AH34" s="173">
        <f t="shared" si="31"/>
        <v>0</v>
      </c>
      <c r="AI34" s="174">
        <f>IF(AC34&gt;0,Masts!$C$10,0)</f>
        <v>0</v>
      </c>
      <c r="AJ34" s="175">
        <f t="shared" si="37"/>
        <v>0</v>
      </c>
      <c r="AK34" s="176">
        <f t="shared" si="5"/>
        <v>0</v>
      </c>
      <c r="AL34" s="172">
        <f t="shared" si="32"/>
        <v>0</v>
      </c>
      <c r="AM34" s="173">
        <f t="shared" si="6"/>
        <v>0</v>
      </c>
      <c r="AN34" s="174">
        <f t="shared" si="7"/>
        <v>0</v>
      </c>
      <c r="AO34" s="176">
        <f t="shared" si="8"/>
        <v>0</v>
      </c>
      <c r="AP34" s="175">
        <f t="shared" si="9"/>
        <v>0</v>
      </c>
      <c r="AQ34" s="172">
        <f t="shared" si="26"/>
        <v>0</v>
      </c>
      <c r="AR34" s="173">
        <f t="shared" si="11"/>
        <v>0</v>
      </c>
      <c r="AS34" s="56">
        <f>'Ship Data Metric'!E35*0.03280839895</f>
        <v>0</v>
      </c>
      <c r="AT34" s="96"/>
      <c r="AU34" s="172">
        <f t="shared" si="12"/>
        <v>0</v>
      </c>
      <c r="AV34" s="173">
        <f t="shared" si="13"/>
        <v>0</v>
      </c>
      <c r="AW34" s="174">
        <f t="shared" si="14"/>
        <v>0</v>
      </c>
      <c r="AX34" s="175">
        <f t="shared" si="15"/>
        <v>0</v>
      </c>
      <c r="AY34" s="176">
        <f t="shared" si="16"/>
        <v>0</v>
      </c>
      <c r="AZ34" s="172">
        <f t="shared" si="17"/>
        <v>0</v>
      </c>
      <c r="BA34" s="173">
        <f t="shared" si="18"/>
        <v>0</v>
      </c>
    </row>
    <row r="35" ht="15.75" customHeight="1">
      <c r="A35" s="1"/>
      <c r="B35" s="195" t="s">
        <v>176</v>
      </c>
      <c r="C35" s="119">
        <f>C14/2</f>
        <v>7.480072915</v>
      </c>
      <c r="D35" s="120">
        <f t="shared" si="38"/>
        <v>1.496014583</v>
      </c>
      <c r="E35" s="190">
        <f t="shared" si="35"/>
        <v>227.9926225</v>
      </c>
      <c r="F35" s="122">
        <f t="shared" si="36"/>
        <v>37.99877041</v>
      </c>
      <c r="G35" s="123">
        <f>(C35/Introduction!$I$20)*12</f>
        <v>0.9350091144</v>
      </c>
      <c r="H35" s="191">
        <f>(D35/Introduction!$I$20)</f>
        <v>0.01558348524</v>
      </c>
      <c r="I35" s="192">
        <f>H35*0.66</f>
        <v>0.01028510026</v>
      </c>
      <c r="J35" s="124">
        <f>(E35/Introduction!$I$20)*1</f>
        <v>2.374923151</v>
      </c>
      <c r="K35" s="193">
        <f>(F35/Introduction!$I$20)</f>
        <v>0.3958205251</v>
      </c>
      <c r="L35" s="125">
        <f t="shared" si="21"/>
        <v>0.2612415466</v>
      </c>
      <c r="M35" s="1"/>
      <c r="N35" s="1"/>
      <c r="Z35" s="5"/>
      <c r="AA35" s="96"/>
      <c r="AB35" s="76" t="s">
        <v>27</v>
      </c>
      <c r="AC35" s="56">
        <f>IF('Ship Data Imperial'!E36&gt;0,'Ship Data Imperial'!E36,AS35)</f>
        <v>0</v>
      </c>
      <c r="AD35" s="77"/>
      <c r="AE35" s="77"/>
      <c r="AF35" s="171"/>
      <c r="AG35" s="172">
        <f>IF(AC35&gt;0,Masts!$C$9,0)</f>
        <v>0</v>
      </c>
      <c r="AH35" s="173">
        <f t="shared" si="31"/>
        <v>0</v>
      </c>
      <c r="AI35" s="174">
        <f>IF(AC35&gt;0,Masts!$C$10,0)</f>
        <v>0</v>
      </c>
      <c r="AJ35" s="175">
        <f t="shared" si="37"/>
        <v>0</v>
      </c>
      <c r="AK35" s="176">
        <f t="shared" si="5"/>
        <v>0</v>
      </c>
      <c r="AL35" s="172">
        <f t="shared" si="32"/>
        <v>0</v>
      </c>
      <c r="AM35" s="173">
        <f t="shared" si="6"/>
        <v>0</v>
      </c>
      <c r="AN35" s="174">
        <f t="shared" si="7"/>
        <v>0</v>
      </c>
      <c r="AO35" s="176">
        <f t="shared" si="8"/>
        <v>0</v>
      </c>
      <c r="AP35" s="175">
        <f t="shared" si="9"/>
        <v>0</v>
      </c>
      <c r="AQ35" s="172">
        <f t="shared" si="26"/>
        <v>0</v>
      </c>
      <c r="AR35" s="173">
        <f t="shared" si="11"/>
        <v>0</v>
      </c>
      <c r="AS35" s="56">
        <f>'Ship Data Metric'!E36*0.03280839895</f>
        <v>0</v>
      </c>
      <c r="AT35" s="96"/>
      <c r="AU35" s="172">
        <f t="shared" si="12"/>
        <v>0</v>
      </c>
      <c r="AV35" s="173">
        <f t="shared" si="13"/>
        <v>0</v>
      </c>
      <c r="AW35" s="174">
        <f t="shared" si="14"/>
        <v>0</v>
      </c>
      <c r="AX35" s="175">
        <f t="shared" si="15"/>
        <v>0</v>
      </c>
      <c r="AY35" s="176">
        <f t="shared" si="16"/>
        <v>0</v>
      </c>
      <c r="AZ35" s="172">
        <f t="shared" si="17"/>
        <v>0</v>
      </c>
      <c r="BA35" s="173">
        <f t="shared" si="18"/>
        <v>0</v>
      </c>
    </row>
    <row r="36" ht="15.75" customHeight="1">
      <c r="A36" s="1"/>
      <c r="B36" s="198" t="s">
        <v>177</v>
      </c>
      <c r="C36" s="185">
        <f>C35*0.5714</f>
        <v>4.274113664</v>
      </c>
      <c r="D36" s="128">
        <f t="shared" si="38"/>
        <v>0.8548227328</v>
      </c>
      <c r="E36" s="129">
        <f t="shared" si="35"/>
        <v>130.2749845</v>
      </c>
      <c r="F36" s="130">
        <f t="shared" si="36"/>
        <v>21.71249741</v>
      </c>
      <c r="G36" s="131">
        <f>(C36/Introduction!$I$20)*12</f>
        <v>0.534264208</v>
      </c>
      <c r="H36" s="186">
        <f>(D36/Introduction!$I$20)</f>
        <v>0.008904403466</v>
      </c>
      <c r="I36" s="187">
        <f>AY272</f>
        <v>0.005087976141</v>
      </c>
      <c r="J36" s="133">
        <f>(E36/Introduction!$I$20)*1</f>
        <v>1.357031088</v>
      </c>
      <c r="K36" s="188">
        <f>(F36/Introduction!$I$20)</f>
        <v>0.226171848</v>
      </c>
      <c r="L36" s="135">
        <f t="shared" si="21"/>
        <v>0.129234594</v>
      </c>
      <c r="M36" s="1"/>
      <c r="N36" s="1"/>
      <c r="Z36" s="5"/>
      <c r="AA36" s="96"/>
      <c r="AB36" s="76" t="s">
        <v>28</v>
      </c>
      <c r="AC36" s="56">
        <f>IF('Ship Data Imperial'!E37&gt;0,'Ship Data Imperial'!E37,AS36)</f>
        <v>0</v>
      </c>
      <c r="AD36" s="77"/>
      <c r="AE36" s="77"/>
      <c r="AF36" s="171"/>
      <c r="AG36" s="172">
        <f>IF(AC36&gt;0,Masts!$C$9,0)</f>
        <v>0</v>
      </c>
      <c r="AH36" s="173">
        <f t="shared" si="31"/>
        <v>0</v>
      </c>
      <c r="AI36" s="174">
        <f>IF(AC36&gt;0,Masts!$C$10,0)</f>
        <v>0</v>
      </c>
      <c r="AJ36" s="175">
        <f t="shared" si="37"/>
        <v>0</v>
      </c>
      <c r="AK36" s="176">
        <f t="shared" si="5"/>
        <v>0</v>
      </c>
      <c r="AL36" s="172">
        <f t="shared" si="32"/>
        <v>0</v>
      </c>
      <c r="AM36" s="173">
        <f t="shared" si="6"/>
        <v>0</v>
      </c>
      <c r="AN36" s="174">
        <f t="shared" si="7"/>
        <v>0</v>
      </c>
      <c r="AO36" s="176">
        <f t="shared" si="8"/>
        <v>0</v>
      </c>
      <c r="AP36" s="175">
        <f t="shared" si="9"/>
        <v>0</v>
      </c>
      <c r="AQ36" s="172">
        <f t="shared" si="26"/>
        <v>0</v>
      </c>
      <c r="AR36" s="173">
        <f t="shared" si="11"/>
        <v>0</v>
      </c>
      <c r="AS36" s="56">
        <f>'Ship Data Metric'!E37*0.03280839895</f>
        <v>0</v>
      </c>
      <c r="AT36" s="96"/>
      <c r="AU36" s="172">
        <f t="shared" si="12"/>
        <v>0</v>
      </c>
      <c r="AV36" s="173">
        <f t="shared" si="13"/>
        <v>0</v>
      </c>
      <c r="AW36" s="174">
        <f t="shared" si="14"/>
        <v>0</v>
      </c>
      <c r="AX36" s="175">
        <f t="shared" si="15"/>
        <v>0</v>
      </c>
      <c r="AY36" s="176">
        <f t="shared" si="16"/>
        <v>0</v>
      </c>
      <c r="AZ36" s="172">
        <f t="shared" si="17"/>
        <v>0</v>
      </c>
      <c r="BA36" s="173">
        <f t="shared" si="18"/>
        <v>0</v>
      </c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Z37" s="5"/>
      <c r="AA37" s="96"/>
      <c r="AB37" s="76" t="s">
        <v>29</v>
      </c>
      <c r="AC37" s="56">
        <f>IF('Ship Data Imperial'!E38&gt;0,'Ship Data Imperial'!E38,AS37)</f>
        <v>0</v>
      </c>
      <c r="AD37" s="77"/>
      <c r="AE37" s="77"/>
      <c r="AF37" s="171"/>
      <c r="AG37" s="172">
        <f>IF(AC37&gt;0,Masts!$C$9,0)</f>
        <v>0</v>
      </c>
      <c r="AH37" s="173">
        <f t="shared" si="31"/>
        <v>0</v>
      </c>
      <c r="AI37" s="174">
        <f>IF(AC37&gt;0,Masts!$C$10,0)</f>
        <v>0</v>
      </c>
      <c r="AJ37" s="175">
        <f t="shared" si="37"/>
        <v>0</v>
      </c>
      <c r="AK37" s="176">
        <f t="shared" si="5"/>
        <v>0</v>
      </c>
      <c r="AL37" s="172">
        <f t="shared" si="32"/>
        <v>0</v>
      </c>
      <c r="AM37" s="173">
        <f t="shared" si="6"/>
        <v>0</v>
      </c>
      <c r="AN37" s="174">
        <f t="shared" si="7"/>
        <v>0</v>
      </c>
      <c r="AO37" s="176">
        <f t="shared" si="8"/>
        <v>0</v>
      </c>
      <c r="AP37" s="175">
        <f t="shared" si="9"/>
        <v>0</v>
      </c>
      <c r="AQ37" s="172">
        <f t="shared" si="26"/>
        <v>0</v>
      </c>
      <c r="AR37" s="173">
        <f t="shared" si="11"/>
        <v>0</v>
      </c>
      <c r="AS37" s="56">
        <f>'Ship Data Metric'!E38*0.03280839895</f>
        <v>0</v>
      </c>
      <c r="AT37" s="96"/>
      <c r="AU37" s="172">
        <f t="shared" si="12"/>
        <v>0</v>
      </c>
      <c r="AV37" s="173">
        <f t="shared" si="13"/>
        <v>0</v>
      </c>
      <c r="AW37" s="174">
        <f t="shared" si="14"/>
        <v>0</v>
      </c>
      <c r="AX37" s="175">
        <f t="shared" si="15"/>
        <v>0</v>
      </c>
      <c r="AY37" s="176">
        <f t="shared" si="16"/>
        <v>0</v>
      </c>
      <c r="AZ37" s="172">
        <f t="shared" si="17"/>
        <v>0</v>
      </c>
      <c r="BA37" s="173">
        <f t="shared" si="18"/>
        <v>0</v>
      </c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Z38" s="5"/>
      <c r="AA38" s="75" t="s">
        <v>35</v>
      </c>
      <c r="AB38" s="76" t="s">
        <v>24</v>
      </c>
      <c r="AC38" s="56">
        <f>IF('Ship Data Imperial'!E39&gt;0,'Ship Data Imperial'!E39,AS38)</f>
        <v>0</v>
      </c>
      <c r="AD38" s="77" t="str">
        <f>'Ship Data Imperial'!F21</f>
        <v/>
      </c>
      <c r="AE38" s="77" t="str">
        <f>'Ship Data Imperial'!G21</f>
        <v/>
      </c>
      <c r="AF38" s="171"/>
      <c r="AG38" s="172">
        <f>IF(AC38&gt;0,Masts!$C$9,0)</f>
        <v>0</v>
      </c>
      <c r="AH38" s="173">
        <f t="shared" si="31"/>
        <v>0</v>
      </c>
      <c r="AI38" s="174">
        <f>IF(AC38&gt;0,Masts!$C$14*0.8421,0)</f>
        <v>0</v>
      </c>
      <c r="AJ38" s="175">
        <f t="shared" si="37"/>
        <v>0</v>
      </c>
      <c r="AK38" s="176">
        <f t="shared" si="5"/>
        <v>0</v>
      </c>
      <c r="AL38" s="172">
        <f t="shared" si="32"/>
        <v>0</v>
      </c>
      <c r="AM38" s="173">
        <f t="shared" si="6"/>
        <v>0</v>
      </c>
      <c r="AN38" s="174">
        <f t="shared" si="7"/>
        <v>0</v>
      </c>
      <c r="AO38" s="176">
        <f t="shared" si="8"/>
        <v>0</v>
      </c>
      <c r="AP38" s="175">
        <f t="shared" si="9"/>
        <v>0</v>
      </c>
      <c r="AQ38" s="172">
        <f>IF(AC38&gt;0,Masts!C10,0)</f>
        <v>0</v>
      </c>
      <c r="AR38" s="173">
        <f t="shared" si="11"/>
        <v>0</v>
      </c>
      <c r="AS38" s="56">
        <f>'Ship Data Metric'!E39*0.03280839895</f>
        <v>0</v>
      </c>
      <c r="AT38" s="75" t="s">
        <v>35</v>
      </c>
      <c r="AU38" s="172">
        <f t="shared" si="12"/>
        <v>0</v>
      </c>
      <c r="AV38" s="173">
        <f t="shared" si="13"/>
        <v>0</v>
      </c>
      <c r="AW38" s="174">
        <f t="shared" si="14"/>
        <v>0</v>
      </c>
      <c r="AX38" s="175">
        <f t="shared" si="15"/>
        <v>0</v>
      </c>
      <c r="AY38" s="176">
        <f t="shared" si="16"/>
        <v>0</v>
      </c>
      <c r="AZ38" s="172">
        <f t="shared" si="17"/>
        <v>0</v>
      </c>
      <c r="BA38" s="173">
        <f t="shared" si="18"/>
        <v>0</v>
      </c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Z39" s="5"/>
      <c r="AA39" s="96"/>
      <c r="AB39" s="76" t="s">
        <v>25</v>
      </c>
      <c r="AC39" s="56">
        <f>IF('Ship Data Imperial'!E40&gt;0,'Ship Data Imperial'!E40,AS39)</f>
        <v>0</v>
      </c>
      <c r="AD39" s="77" t="str">
        <f>'Ship Data Imperial'!F22</f>
        <v/>
      </c>
      <c r="AE39" s="77" t="str">
        <f>'Ship Data Imperial'!G22</f>
        <v/>
      </c>
      <c r="AF39" s="171"/>
      <c r="AG39" s="172">
        <f>IF(AC39&gt;0,Masts!$C$9,0)</f>
        <v>0</v>
      </c>
      <c r="AH39" s="173">
        <f t="shared" si="31"/>
        <v>0</v>
      </c>
      <c r="AI39" s="174">
        <f>IF(AC39&gt;0,Masts!$C$14*0.8421,0)</f>
        <v>0</v>
      </c>
      <c r="AJ39" s="175">
        <f t="shared" si="37"/>
        <v>0</v>
      </c>
      <c r="AK39" s="176">
        <f t="shared" si="5"/>
        <v>0</v>
      </c>
      <c r="AL39" s="172">
        <f t="shared" si="32"/>
        <v>0</v>
      </c>
      <c r="AM39" s="173">
        <f t="shared" si="6"/>
        <v>0</v>
      </c>
      <c r="AN39" s="174">
        <f t="shared" si="7"/>
        <v>0</v>
      </c>
      <c r="AO39" s="176">
        <f t="shared" si="8"/>
        <v>0</v>
      </c>
      <c r="AP39" s="175">
        <f t="shared" si="9"/>
        <v>0</v>
      </c>
      <c r="AQ39" s="172">
        <f>IF(AC39&gt;0,Masts!C11,0)</f>
        <v>0</v>
      </c>
      <c r="AR39" s="173">
        <f t="shared" si="11"/>
        <v>0</v>
      </c>
      <c r="AS39" s="56">
        <f>'Ship Data Metric'!E40*0.03280839895</f>
        <v>0</v>
      </c>
      <c r="AT39" s="96"/>
      <c r="AU39" s="172">
        <f t="shared" si="12"/>
        <v>0</v>
      </c>
      <c r="AV39" s="173">
        <f t="shared" si="13"/>
        <v>0</v>
      </c>
      <c r="AW39" s="174">
        <f t="shared" si="14"/>
        <v>0</v>
      </c>
      <c r="AX39" s="175">
        <f t="shared" si="15"/>
        <v>0</v>
      </c>
      <c r="AY39" s="176">
        <f t="shared" si="16"/>
        <v>0</v>
      </c>
      <c r="AZ39" s="172">
        <f t="shared" si="17"/>
        <v>0</v>
      </c>
      <c r="BA39" s="173">
        <f t="shared" si="18"/>
        <v>0</v>
      </c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Z40" s="5"/>
      <c r="AA40" s="96"/>
      <c r="AB40" s="76" t="s">
        <v>26</v>
      </c>
      <c r="AC40" s="56">
        <f>IF('Ship Data Imperial'!E41&gt;0,'Ship Data Imperial'!E41,AS40)</f>
        <v>0</v>
      </c>
      <c r="AD40" s="77" t="str">
        <f>'Ship Data Imperial'!F23</f>
        <v/>
      </c>
      <c r="AE40" s="77" t="str">
        <f>'Ship Data Imperial'!G23</f>
        <v/>
      </c>
      <c r="AF40" s="171"/>
      <c r="AG40" s="172">
        <f>IF(AC40&gt;0,Masts!$C$9,0)</f>
        <v>0</v>
      </c>
      <c r="AH40" s="173">
        <f t="shared" si="31"/>
        <v>0</v>
      </c>
      <c r="AI40" s="174">
        <f>IF(AC40&gt;0,Masts!$C$14*0.8421,0)</f>
        <v>0</v>
      </c>
      <c r="AJ40" s="175">
        <f t="shared" si="37"/>
        <v>0</v>
      </c>
      <c r="AK40" s="176">
        <f t="shared" si="5"/>
        <v>0</v>
      </c>
      <c r="AL40" s="172">
        <f t="shared" si="32"/>
        <v>0</v>
      </c>
      <c r="AM40" s="173">
        <f t="shared" si="6"/>
        <v>0</v>
      </c>
      <c r="AN40" s="174">
        <f t="shared" si="7"/>
        <v>0</v>
      </c>
      <c r="AO40" s="176">
        <f t="shared" si="8"/>
        <v>0</v>
      </c>
      <c r="AP40" s="175">
        <f t="shared" si="9"/>
        <v>0</v>
      </c>
      <c r="AQ40" s="172">
        <f>IF(AC40&gt;0,Masts!C12,0)</f>
        <v>0</v>
      </c>
      <c r="AR40" s="173">
        <f t="shared" si="11"/>
        <v>0</v>
      </c>
      <c r="AS40" s="56">
        <f>'Ship Data Metric'!E41*0.03280839895</f>
        <v>0</v>
      </c>
      <c r="AT40" s="96"/>
      <c r="AU40" s="172">
        <f t="shared" si="12"/>
        <v>0</v>
      </c>
      <c r="AV40" s="173">
        <f t="shared" si="13"/>
        <v>0</v>
      </c>
      <c r="AW40" s="174">
        <f t="shared" si="14"/>
        <v>0</v>
      </c>
      <c r="AX40" s="175">
        <f t="shared" si="15"/>
        <v>0</v>
      </c>
      <c r="AY40" s="176">
        <f t="shared" si="16"/>
        <v>0</v>
      </c>
      <c r="AZ40" s="172">
        <f t="shared" si="17"/>
        <v>0</v>
      </c>
      <c r="BA40" s="173">
        <f t="shared" si="18"/>
        <v>0</v>
      </c>
    </row>
    <row r="41" ht="15.75" customHeight="1">
      <c r="Z41" s="5"/>
      <c r="AA41" s="96"/>
      <c r="AB41" s="76" t="s">
        <v>27</v>
      </c>
      <c r="AC41" s="56">
        <f>IF('Ship Data Imperial'!E42&gt;0,'Ship Data Imperial'!E42,AS41)</f>
        <v>0</v>
      </c>
      <c r="AD41" s="77" t="str">
        <f>'Ship Data Imperial'!F24</f>
        <v/>
      </c>
      <c r="AE41" s="77" t="str">
        <f>'Ship Data Imperial'!G24</f>
        <v/>
      </c>
      <c r="AF41" s="171"/>
      <c r="AG41" s="172">
        <f>IF(AC41&gt;0,Masts!$C$9,0)</f>
        <v>0</v>
      </c>
      <c r="AH41" s="173">
        <f t="shared" si="31"/>
        <v>0</v>
      </c>
      <c r="AI41" s="174">
        <f>IF(AC41&gt;0,Masts!$C$14*0.8421,0)</f>
        <v>0</v>
      </c>
      <c r="AJ41" s="175">
        <f t="shared" si="37"/>
        <v>0</v>
      </c>
      <c r="AK41" s="176">
        <f t="shared" si="5"/>
        <v>0</v>
      </c>
      <c r="AL41" s="172">
        <f t="shared" si="32"/>
        <v>0</v>
      </c>
      <c r="AM41" s="173">
        <f t="shared" si="6"/>
        <v>0</v>
      </c>
      <c r="AN41" s="174">
        <f t="shared" si="7"/>
        <v>0</v>
      </c>
      <c r="AO41" s="176">
        <f t="shared" si="8"/>
        <v>0</v>
      </c>
      <c r="AP41" s="175">
        <f t="shared" si="9"/>
        <v>0</v>
      </c>
      <c r="AQ41" s="172">
        <f>IF(AC41&gt;0,Masts!C13,0)</f>
        <v>0</v>
      </c>
      <c r="AR41" s="173">
        <f t="shared" si="11"/>
        <v>0</v>
      </c>
      <c r="AS41" s="56">
        <f>'Ship Data Metric'!E42*0.03280839895</f>
        <v>0</v>
      </c>
      <c r="AT41" s="96"/>
      <c r="AU41" s="172">
        <f t="shared" si="12"/>
        <v>0</v>
      </c>
      <c r="AV41" s="173">
        <f t="shared" si="13"/>
        <v>0</v>
      </c>
      <c r="AW41" s="174">
        <f t="shared" si="14"/>
        <v>0</v>
      </c>
      <c r="AX41" s="175">
        <f t="shared" si="15"/>
        <v>0</v>
      </c>
      <c r="AY41" s="176">
        <f t="shared" si="16"/>
        <v>0</v>
      </c>
      <c r="AZ41" s="172">
        <f t="shared" si="17"/>
        <v>0</v>
      </c>
      <c r="BA41" s="173">
        <f t="shared" si="18"/>
        <v>0</v>
      </c>
    </row>
    <row r="42" ht="15.75" customHeight="1">
      <c r="Z42" s="5"/>
      <c r="AA42" s="96"/>
      <c r="AB42" s="76" t="s">
        <v>28</v>
      </c>
      <c r="AC42" s="56">
        <f>IF('Ship Data Imperial'!E43&gt;0,'Ship Data Imperial'!E43,AS42)</f>
        <v>0</v>
      </c>
      <c r="AD42" s="77" t="str">
        <f>'Ship Data Imperial'!F25</f>
        <v/>
      </c>
      <c r="AE42" s="77" t="str">
        <f>'Ship Data Imperial'!G25</f>
        <v/>
      </c>
      <c r="AF42" s="171"/>
      <c r="AG42" s="172">
        <f>IF(AC42&gt;0,Masts!$C$9,0)</f>
        <v>0</v>
      </c>
      <c r="AH42" s="173">
        <f t="shared" si="31"/>
        <v>0</v>
      </c>
      <c r="AI42" s="174">
        <f>IF(AC42&gt;0,Masts!$C$14*0.8421,0)</f>
        <v>0</v>
      </c>
      <c r="AJ42" s="175">
        <f t="shared" si="37"/>
        <v>0</v>
      </c>
      <c r="AK42" s="176">
        <f t="shared" si="5"/>
        <v>0</v>
      </c>
      <c r="AL42" s="172">
        <f t="shared" si="32"/>
        <v>0</v>
      </c>
      <c r="AM42" s="173">
        <f t="shared" si="6"/>
        <v>0</v>
      </c>
      <c r="AN42" s="174">
        <f t="shared" si="7"/>
        <v>0</v>
      </c>
      <c r="AO42" s="176">
        <f t="shared" si="8"/>
        <v>0</v>
      </c>
      <c r="AP42" s="175">
        <f t="shared" si="9"/>
        <v>0</v>
      </c>
      <c r="AQ42" s="172">
        <f>IF(AC42&gt;0,Masts!C14,0)</f>
        <v>0</v>
      </c>
      <c r="AR42" s="173">
        <f t="shared" si="11"/>
        <v>0</v>
      </c>
      <c r="AS42" s="56">
        <f>'Ship Data Metric'!E43*0.03280839895</f>
        <v>0</v>
      </c>
      <c r="AT42" s="96"/>
      <c r="AU42" s="172">
        <f t="shared" si="12"/>
        <v>0</v>
      </c>
      <c r="AV42" s="173">
        <f t="shared" si="13"/>
        <v>0</v>
      </c>
      <c r="AW42" s="174">
        <f t="shared" si="14"/>
        <v>0</v>
      </c>
      <c r="AX42" s="175">
        <f t="shared" si="15"/>
        <v>0</v>
      </c>
      <c r="AY42" s="176">
        <f t="shared" si="16"/>
        <v>0</v>
      </c>
      <c r="AZ42" s="172">
        <f t="shared" si="17"/>
        <v>0</v>
      </c>
      <c r="BA42" s="173">
        <f t="shared" si="18"/>
        <v>0</v>
      </c>
    </row>
    <row r="43" ht="15.75" customHeight="1">
      <c r="Z43" s="5"/>
      <c r="AA43" s="96"/>
      <c r="AB43" s="76" t="s">
        <v>29</v>
      </c>
      <c r="AC43" s="56">
        <f>IF('Ship Data Imperial'!E44&gt;0,'Ship Data Imperial'!E44,AS43)</f>
        <v>0</v>
      </c>
      <c r="AD43" s="77" t="str">
        <f>'Ship Data Imperial'!F26</f>
        <v/>
      </c>
      <c r="AE43" s="77" t="str">
        <f>'Ship Data Imperial'!G26</f>
        <v/>
      </c>
      <c r="AF43" s="171"/>
      <c r="AG43" s="172">
        <f>IF(AC43&gt;0,Masts!$C$9,0)</f>
        <v>0</v>
      </c>
      <c r="AH43" s="173">
        <f t="shared" si="31"/>
        <v>0</v>
      </c>
      <c r="AI43" s="174">
        <f>IF(AC43&gt;0,Masts!$C$14*0.8421,0)</f>
        <v>0</v>
      </c>
      <c r="AJ43" s="175">
        <f t="shared" si="37"/>
        <v>0</v>
      </c>
      <c r="AK43" s="176">
        <f t="shared" si="5"/>
        <v>0</v>
      </c>
      <c r="AL43" s="172">
        <f t="shared" si="32"/>
        <v>0</v>
      </c>
      <c r="AM43" s="173">
        <f t="shared" si="6"/>
        <v>0</v>
      </c>
      <c r="AN43" s="174">
        <f t="shared" si="7"/>
        <v>0</v>
      </c>
      <c r="AO43" s="176">
        <f t="shared" si="8"/>
        <v>0</v>
      </c>
      <c r="AP43" s="175">
        <f t="shared" si="9"/>
        <v>0</v>
      </c>
      <c r="AQ43" s="172">
        <f>IF(AC43&gt;0,Masts!C15,0)</f>
        <v>0</v>
      </c>
      <c r="AR43" s="173">
        <f t="shared" si="11"/>
        <v>0</v>
      </c>
      <c r="AS43" s="56">
        <f>'Ship Data Metric'!E44*0.03280839895</f>
        <v>0</v>
      </c>
      <c r="AT43" s="96"/>
      <c r="AU43" s="172">
        <f t="shared" si="12"/>
        <v>0</v>
      </c>
      <c r="AV43" s="173">
        <f t="shared" si="13"/>
        <v>0</v>
      </c>
      <c r="AW43" s="174">
        <f t="shared" si="14"/>
        <v>0</v>
      </c>
      <c r="AX43" s="175">
        <f t="shared" si="15"/>
        <v>0</v>
      </c>
      <c r="AY43" s="176">
        <f t="shared" si="16"/>
        <v>0</v>
      </c>
      <c r="AZ43" s="172">
        <f t="shared" si="17"/>
        <v>0</v>
      </c>
      <c r="BA43" s="173">
        <f t="shared" si="18"/>
        <v>0</v>
      </c>
    </row>
    <row r="44" ht="15.75" customHeight="1">
      <c r="Z44" s="5"/>
      <c r="AA44" s="75" t="s">
        <v>36</v>
      </c>
      <c r="AB44" s="76" t="s">
        <v>24</v>
      </c>
      <c r="AC44" s="56">
        <f>IF('Ship Data Imperial'!E45&gt;0,'Ship Data Imperial'!E45,AS44)</f>
        <v>0</v>
      </c>
      <c r="AD44" s="77" t="str">
        <f>'Ship Data Imperial'!F33</f>
        <v/>
      </c>
      <c r="AE44" s="77" t="str">
        <f>'Ship Data Imperial'!G33</f>
        <v/>
      </c>
      <c r="AF44" s="171"/>
      <c r="AG44" s="172">
        <f>IF(AC44&gt;0,Masts!$C$9,0)</f>
        <v>0</v>
      </c>
      <c r="AH44" s="173">
        <f t="shared" si="31"/>
        <v>0</v>
      </c>
      <c r="AI44" s="174">
        <f>IF(AC44&gt;0,Masts!$C$14*0.8421,0)</f>
        <v>0</v>
      </c>
      <c r="AJ44" s="175">
        <f t="shared" si="37"/>
        <v>0</v>
      </c>
      <c r="AK44" s="176">
        <f t="shared" si="5"/>
        <v>0</v>
      </c>
      <c r="AL44" s="172">
        <f t="shared" si="32"/>
        <v>0</v>
      </c>
      <c r="AM44" s="173">
        <f t="shared" si="6"/>
        <v>0</v>
      </c>
      <c r="AN44" s="174">
        <f t="shared" si="7"/>
        <v>0</v>
      </c>
      <c r="AO44" s="176">
        <f t="shared" si="8"/>
        <v>0</v>
      </c>
      <c r="AP44" s="175">
        <f t="shared" si="9"/>
        <v>0</v>
      </c>
      <c r="AQ44" s="172">
        <f>IF(AC44&gt;0,Masts!C13,0)</f>
        <v>0</v>
      </c>
      <c r="AR44" s="173">
        <f t="shared" si="11"/>
        <v>0</v>
      </c>
      <c r="AS44" s="56">
        <f>'Ship Data Metric'!E45*0.03280839895</f>
        <v>0</v>
      </c>
      <c r="AT44" s="75" t="s">
        <v>36</v>
      </c>
      <c r="AU44" s="172">
        <f t="shared" si="12"/>
        <v>0</v>
      </c>
      <c r="AV44" s="173">
        <f t="shared" si="13"/>
        <v>0</v>
      </c>
      <c r="AW44" s="174">
        <f t="shared" si="14"/>
        <v>0</v>
      </c>
      <c r="AX44" s="175">
        <f t="shared" si="15"/>
        <v>0</v>
      </c>
      <c r="AY44" s="176">
        <f t="shared" si="16"/>
        <v>0</v>
      </c>
      <c r="AZ44" s="172">
        <f t="shared" si="17"/>
        <v>0</v>
      </c>
      <c r="BA44" s="173">
        <f t="shared" si="18"/>
        <v>0</v>
      </c>
    </row>
    <row r="45" ht="15.75" customHeight="1">
      <c r="Z45" s="5"/>
      <c r="AA45" s="96"/>
      <c r="AB45" s="76" t="s">
        <v>25</v>
      </c>
      <c r="AC45" s="56">
        <f>IF('Ship Data Imperial'!E46&gt;0,'Ship Data Imperial'!E46,AS45)</f>
        <v>0</v>
      </c>
      <c r="AD45" s="77" t="str">
        <f>'Ship Data Imperial'!F34</f>
        <v/>
      </c>
      <c r="AE45" s="77" t="str">
        <f>'Ship Data Imperial'!G34</f>
        <v/>
      </c>
      <c r="AF45" s="171"/>
      <c r="AG45" s="172">
        <f>IF(AC45&gt;0,Masts!$C$9,0)</f>
        <v>0</v>
      </c>
      <c r="AH45" s="173">
        <f t="shared" si="31"/>
        <v>0</v>
      </c>
      <c r="AI45" s="174">
        <f>IF(AC45&gt;0,Masts!$C$14*0.8421,0)</f>
        <v>0</v>
      </c>
      <c r="AJ45" s="175">
        <f t="shared" si="37"/>
        <v>0</v>
      </c>
      <c r="AK45" s="176">
        <f t="shared" si="5"/>
        <v>0</v>
      </c>
      <c r="AL45" s="172">
        <f t="shared" si="32"/>
        <v>0</v>
      </c>
      <c r="AM45" s="173">
        <f t="shared" si="6"/>
        <v>0</v>
      </c>
      <c r="AN45" s="174">
        <f t="shared" si="7"/>
        <v>0</v>
      </c>
      <c r="AO45" s="176">
        <f t="shared" si="8"/>
        <v>0</v>
      </c>
      <c r="AP45" s="175">
        <f t="shared" si="9"/>
        <v>0</v>
      </c>
      <c r="AQ45" s="172">
        <f>IF(AC45&gt;0,Masts!C14,0)</f>
        <v>0</v>
      </c>
      <c r="AR45" s="173">
        <f t="shared" si="11"/>
        <v>0</v>
      </c>
      <c r="AS45" s="56">
        <f>'Ship Data Metric'!E46*0.03280839895</f>
        <v>0</v>
      </c>
      <c r="AT45" s="96"/>
      <c r="AU45" s="172">
        <f t="shared" si="12"/>
        <v>0</v>
      </c>
      <c r="AV45" s="173">
        <f t="shared" si="13"/>
        <v>0</v>
      </c>
      <c r="AW45" s="174">
        <f t="shared" si="14"/>
        <v>0</v>
      </c>
      <c r="AX45" s="175">
        <f t="shared" si="15"/>
        <v>0</v>
      </c>
      <c r="AY45" s="176">
        <f t="shared" si="16"/>
        <v>0</v>
      </c>
      <c r="AZ45" s="172">
        <f t="shared" si="17"/>
        <v>0</v>
      </c>
      <c r="BA45" s="173">
        <f t="shared" si="18"/>
        <v>0</v>
      </c>
    </row>
    <row r="46" ht="15.75" customHeight="1">
      <c r="Z46" s="5"/>
      <c r="AA46" s="96"/>
      <c r="AB46" s="76" t="s">
        <v>26</v>
      </c>
      <c r="AC46" s="56">
        <f>IF('Ship Data Imperial'!E47&gt;0,'Ship Data Imperial'!E47,AS46)</f>
        <v>0</v>
      </c>
      <c r="AD46" s="77" t="str">
        <f>'Ship Data Imperial'!F35</f>
        <v/>
      </c>
      <c r="AE46" s="77" t="str">
        <f>'Ship Data Imperial'!G35</f>
        <v/>
      </c>
      <c r="AF46" s="171"/>
      <c r="AG46" s="172">
        <f>IF(AC46&gt;0,Masts!$C$9,0)</f>
        <v>0</v>
      </c>
      <c r="AH46" s="173">
        <f t="shared" si="31"/>
        <v>0</v>
      </c>
      <c r="AI46" s="174">
        <f>IF(AC46&gt;0,Masts!$C$14*0.8421,0)</f>
        <v>0</v>
      </c>
      <c r="AJ46" s="175">
        <f t="shared" si="37"/>
        <v>0</v>
      </c>
      <c r="AK46" s="176">
        <f t="shared" si="5"/>
        <v>0</v>
      </c>
      <c r="AL46" s="172">
        <f t="shared" si="32"/>
        <v>0</v>
      </c>
      <c r="AM46" s="173">
        <f t="shared" si="6"/>
        <v>0</v>
      </c>
      <c r="AN46" s="174">
        <f t="shared" si="7"/>
        <v>0</v>
      </c>
      <c r="AO46" s="176">
        <f t="shared" si="8"/>
        <v>0</v>
      </c>
      <c r="AP46" s="175">
        <f t="shared" si="9"/>
        <v>0</v>
      </c>
      <c r="AQ46" s="172">
        <f>IF(AC46&gt;0,Masts!C15,0)</f>
        <v>0</v>
      </c>
      <c r="AR46" s="173">
        <f t="shared" si="11"/>
        <v>0</v>
      </c>
      <c r="AS46" s="56">
        <f>'Ship Data Metric'!E47*0.03280839895</f>
        <v>0</v>
      </c>
      <c r="AT46" s="96"/>
      <c r="AU46" s="172">
        <f t="shared" si="12"/>
        <v>0</v>
      </c>
      <c r="AV46" s="173">
        <f t="shared" si="13"/>
        <v>0</v>
      </c>
      <c r="AW46" s="174">
        <f t="shared" si="14"/>
        <v>0</v>
      </c>
      <c r="AX46" s="175">
        <f t="shared" si="15"/>
        <v>0</v>
      </c>
      <c r="AY46" s="176">
        <f t="shared" si="16"/>
        <v>0</v>
      </c>
      <c r="AZ46" s="172">
        <f t="shared" si="17"/>
        <v>0</v>
      </c>
      <c r="BA46" s="173">
        <f t="shared" si="18"/>
        <v>0</v>
      </c>
    </row>
    <row r="47" ht="15.75" customHeight="1">
      <c r="Z47" s="5"/>
      <c r="AA47" s="96"/>
      <c r="AB47" s="76" t="s">
        <v>27</v>
      </c>
      <c r="AC47" s="56">
        <f>IF('Ship Data Imperial'!E48&gt;0,'Ship Data Imperial'!E48,AS47)</f>
        <v>0</v>
      </c>
      <c r="AD47" s="77" t="str">
        <f>'Ship Data Imperial'!F36</f>
        <v/>
      </c>
      <c r="AE47" s="77" t="str">
        <f>'Ship Data Imperial'!G36</f>
        <v/>
      </c>
      <c r="AF47" s="171"/>
      <c r="AG47" s="172">
        <f>IF(AC47&gt;0,Masts!$C$9,0)</f>
        <v>0</v>
      </c>
      <c r="AH47" s="173">
        <f t="shared" si="31"/>
        <v>0</v>
      </c>
      <c r="AI47" s="174">
        <f>IF(AC47&gt;0,Masts!$C$14*0.8421,0)</f>
        <v>0</v>
      </c>
      <c r="AJ47" s="175">
        <f t="shared" si="37"/>
        <v>0</v>
      </c>
      <c r="AK47" s="176">
        <f t="shared" si="5"/>
        <v>0</v>
      </c>
      <c r="AL47" s="172">
        <f t="shared" si="32"/>
        <v>0</v>
      </c>
      <c r="AM47" s="173">
        <f t="shared" si="6"/>
        <v>0</v>
      </c>
      <c r="AN47" s="174">
        <f t="shared" si="7"/>
        <v>0</v>
      </c>
      <c r="AO47" s="176">
        <f t="shared" si="8"/>
        <v>0</v>
      </c>
      <c r="AP47" s="175">
        <f t="shared" si="9"/>
        <v>0</v>
      </c>
      <c r="AQ47" s="172">
        <f>IF(AC47&gt;0,Masts!C16,0)</f>
        <v>0</v>
      </c>
      <c r="AR47" s="173">
        <f t="shared" si="11"/>
        <v>0</v>
      </c>
      <c r="AS47" s="56">
        <f>'Ship Data Metric'!E48*0.03280839895</f>
        <v>0</v>
      </c>
      <c r="AT47" s="96"/>
      <c r="AU47" s="172">
        <f t="shared" si="12"/>
        <v>0</v>
      </c>
      <c r="AV47" s="173">
        <f t="shared" si="13"/>
        <v>0</v>
      </c>
      <c r="AW47" s="174">
        <f t="shared" si="14"/>
        <v>0</v>
      </c>
      <c r="AX47" s="175">
        <f t="shared" si="15"/>
        <v>0</v>
      </c>
      <c r="AY47" s="176">
        <f t="shared" si="16"/>
        <v>0</v>
      </c>
      <c r="AZ47" s="172">
        <f t="shared" si="17"/>
        <v>0</v>
      </c>
      <c r="BA47" s="173">
        <f t="shared" si="18"/>
        <v>0</v>
      </c>
    </row>
    <row r="48" ht="15.75" customHeight="1">
      <c r="Z48" s="5"/>
      <c r="AA48" s="96"/>
      <c r="AB48" s="76" t="s">
        <v>28</v>
      </c>
      <c r="AC48" s="56">
        <f>IF('Ship Data Imperial'!E49&gt;0,'Ship Data Imperial'!E49,AS48)</f>
        <v>0</v>
      </c>
      <c r="AD48" s="77" t="str">
        <f>'Ship Data Imperial'!F37</f>
        <v/>
      </c>
      <c r="AE48" s="77" t="str">
        <f>'Ship Data Imperial'!G37</f>
        <v/>
      </c>
      <c r="AF48" s="171"/>
      <c r="AG48" s="172">
        <f>IF(AC48&gt;0,Masts!$C$9,0)</f>
        <v>0</v>
      </c>
      <c r="AH48" s="173">
        <f t="shared" si="31"/>
        <v>0</v>
      </c>
      <c r="AI48" s="174">
        <f>IF(AC48&gt;0,Masts!$C$14*0.8421,0)</f>
        <v>0</v>
      </c>
      <c r="AJ48" s="175">
        <f t="shared" si="37"/>
        <v>0</v>
      </c>
      <c r="AK48" s="176">
        <f t="shared" si="5"/>
        <v>0</v>
      </c>
      <c r="AL48" s="172">
        <f t="shared" si="32"/>
        <v>0</v>
      </c>
      <c r="AM48" s="173">
        <f t="shared" si="6"/>
        <v>0</v>
      </c>
      <c r="AN48" s="174">
        <f t="shared" si="7"/>
        <v>0</v>
      </c>
      <c r="AO48" s="176">
        <f t="shared" si="8"/>
        <v>0</v>
      </c>
      <c r="AP48" s="175">
        <f t="shared" si="9"/>
        <v>0</v>
      </c>
      <c r="AQ48" s="172">
        <f>IF(AC48&gt;0,Masts!C17,0)</f>
        <v>0</v>
      </c>
      <c r="AR48" s="173">
        <f t="shared" si="11"/>
        <v>0</v>
      </c>
      <c r="AS48" s="56">
        <f>'Ship Data Metric'!E49*0.03280839895</f>
        <v>0</v>
      </c>
      <c r="AT48" s="96"/>
      <c r="AU48" s="172">
        <f t="shared" si="12"/>
        <v>0</v>
      </c>
      <c r="AV48" s="173">
        <f t="shared" si="13"/>
        <v>0</v>
      </c>
      <c r="AW48" s="174">
        <f t="shared" si="14"/>
        <v>0</v>
      </c>
      <c r="AX48" s="175">
        <f t="shared" si="15"/>
        <v>0</v>
      </c>
      <c r="AY48" s="176">
        <f t="shared" si="16"/>
        <v>0</v>
      </c>
      <c r="AZ48" s="172">
        <f t="shared" si="17"/>
        <v>0</v>
      </c>
      <c r="BA48" s="173">
        <f t="shared" si="18"/>
        <v>0</v>
      </c>
    </row>
    <row r="49" ht="15.75" customHeight="1">
      <c r="Z49" s="5"/>
      <c r="AA49" s="96"/>
      <c r="AB49" s="76" t="s">
        <v>29</v>
      </c>
      <c r="AC49" s="56">
        <f>IF('Ship Data Imperial'!E50&gt;0,'Ship Data Imperial'!E50,AS49)</f>
        <v>0</v>
      </c>
      <c r="AD49" s="77" t="str">
        <f>'Ship Data Imperial'!F38</f>
        <v/>
      </c>
      <c r="AE49" s="77" t="str">
        <f>'Ship Data Imperial'!G38</f>
        <v/>
      </c>
      <c r="AF49" s="171"/>
      <c r="AG49" s="172">
        <f>IF(AC49&gt;0,Masts!$C$9,0)</f>
        <v>0</v>
      </c>
      <c r="AH49" s="173">
        <f t="shared" si="31"/>
        <v>0</v>
      </c>
      <c r="AI49" s="174">
        <f>IF(AC49&gt;0,Masts!$C$14*0.8421,0)</f>
        <v>0</v>
      </c>
      <c r="AJ49" s="175">
        <f t="shared" si="37"/>
        <v>0</v>
      </c>
      <c r="AK49" s="176">
        <f t="shared" si="5"/>
        <v>0</v>
      </c>
      <c r="AL49" s="172">
        <f t="shared" si="32"/>
        <v>0</v>
      </c>
      <c r="AM49" s="173">
        <f t="shared" si="6"/>
        <v>0</v>
      </c>
      <c r="AN49" s="174">
        <f t="shared" si="7"/>
        <v>0</v>
      </c>
      <c r="AO49" s="176">
        <f t="shared" si="8"/>
        <v>0</v>
      </c>
      <c r="AP49" s="175">
        <f t="shared" si="9"/>
        <v>0</v>
      </c>
      <c r="AQ49" s="172">
        <f>IF(AC49&gt;0,Masts!C18,0)</f>
        <v>0</v>
      </c>
      <c r="AR49" s="173">
        <f t="shared" si="11"/>
        <v>0</v>
      </c>
      <c r="AS49" s="56">
        <f>'Ship Data Metric'!E50*0.03280839895</f>
        <v>0</v>
      </c>
      <c r="AT49" s="96"/>
      <c r="AU49" s="172">
        <f t="shared" si="12"/>
        <v>0</v>
      </c>
      <c r="AV49" s="173">
        <f t="shared" si="13"/>
        <v>0</v>
      </c>
      <c r="AW49" s="174">
        <f t="shared" si="14"/>
        <v>0</v>
      </c>
      <c r="AX49" s="175">
        <f t="shared" si="15"/>
        <v>0</v>
      </c>
      <c r="AY49" s="176">
        <f t="shared" si="16"/>
        <v>0</v>
      </c>
      <c r="AZ49" s="172">
        <f t="shared" si="17"/>
        <v>0</v>
      </c>
      <c r="BA49" s="173">
        <f t="shared" si="18"/>
        <v>0</v>
      </c>
    </row>
    <row r="50" ht="15.75" customHeight="1">
      <c r="Z50" s="5"/>
      <c r="AA50" s="75" t="s">
        <v>37</v>
      </c>
      <c r="AB50" s="76" t="s">
        <v>24</v>
      </c>
      <c r="AC50" s="56">
        <f>IF('Ship Data Imperial'!E51&gt;0,'Ship Data Imperial'!E51,AS50)</f>
        <v>0</v>
      </c>
      <c r="AD50" s="77" t="str">
        <f>'Ship Data Imperial'!F39</f>
        <v/>
      </c>
      <c r="AE50" s="77" t="str">
        <f>'Ship Data Imperial'!G39</f>
        <v/>
      </c>
      <c r="AF50" s="171"/>
      <c r="AG50" s="172">
        <f>IF(AC50&gt;0,Masts!$C$9,0)</f>
        <v>0</v>
      </c>
      <c r="AH50" s="173">
        <f t="shared" si="31"/>
        <v>0</v>
      </c>
      <c r="AI50" s="174">
        <f>IF(AC50&gt;0,Masts!$C$14*0.8421,0)</f>
        <v>0</v>
      </c>
      <c r="AJ50" s="175">
        <f t="shared" si="37"/>
        <v>0</v>
      </c>
      <c r="AK50" s="176">
        <f t="shared" si="5"/>
        <v>0</v>
      </c>
      <c r="AL50" s="172">
        <f t="shared" si="32"/>
        <v>0</v>
      </c>
      <c r="AM50" s="173">
        <f t="shared" si="6"/>
        <v>0</v>
      </c>
      <c r="AN50" s="174">
        <f t="shared" si="7"/>
        <v>0</v>
      </c>
      <c r="AO50" s="176">
        <f t="shared" si="8"/>
        <v>0</v>
      </c>
      <c r="AP50" s="175">
        <f t="shared" si="9"/>
        <v>0</v>
      </c>
      <c r="AQ50" s="172">
        <f>IF(AC50&gt;0,Masts!C19,0)</f>
        <v>0</v>
      </c>
      <c r="AR50" s="173">
        <f t="shared" si="11"/>
        <v>0</v>
      </c>
      <c r="AS50" s="56">
        <f>'Ship Data Metric'!E51*0.03280839895</f>
        <v>0</v>
      </c>
      <c r="AT50" s="75" t="s">
        <v>37</v>
      </c>
      <c r="AU50" s="172">
        <f t="shared" si="12"/>
        <v>0</v>
      </c>
      <c r="AV50" s="173">
        <f t="shared" si="13"/>
        <v>0</v>
      </c>
      <c r="AW50" s="174">
        <f t="shared" si="14"/>
        <v>0</v>
      </c>
      <c r="AX50" s="175">
        <f t="shared" si="15"/>
        <v>0</v>
      </c>
      <c r="AY50" s="176">
        <f t="shared" si="16"/>
        <v>0</v>
      </c>
      <c r="AZ50" s="172">
        <f t="shared" si="17"/>
        <v>0</v>
      </c>
      <c r="BA50" s="173">
        <f t="shared" si="18"/>
        <v>0</v>
      </c>
    </row>
    <row r="51" ht="15.75" customHeight="1">
      <c r="Z51" s="5"/>
      <c r="AA51" s="96"/>
      <c r="AB51" s="76" t="s">
        <v>25</v>
      </c>
      <c r="AC51" s="56">
        <f>IF('Ship Data Imperial'!E52&gt;0,'Ship Data Imperial'!E52,AS51)</f>
        <v>0</v>
      </c>
      <c r="AD51" s="77" t="str">
        <f>'Ship Data Imperial'!F40</f>
        <v/>
      </c>
      <c r="AE51" s="77" t="str">
        <f>'Ship Data Imperial'!G40</f>
        <v/>
      </c>
      <c r="AF51" s="171"/>
      <c r="AG51" s="172">
        <f>IF(AC51&gt;0,Masts!$C$9,0)</f>
        <v>0</v>
      </c>
      <c r="AH51" s="173">
        <f t="shared" si="31"/>
        <v>0</v>
      </c>
      <c r="AI51" s="174">
        <f>IF(AC51&gt;0,Masts!$C$14*0.8421,0)</f>
        <v>0</v>
      </c>
      <c r="AJ51" s="175">
        <f t="shared" si="37"/>
        <v>0</v>
      </c>
      <c r="AK51" s="176">
        <f t="shared" si="5"/>
        <v>0</v>
      </c>
      <c r="AL51" s="172">
        <f t="shared" si="32"/>
        <v>0</v>
      </c>
      <c r="AM51" s="173">
        <f t="shared" si="6"/>
        <v>0</v>
      </c>
      <c r="AN51" s="174">
        <f t="shared" si="7"/>
        <v>0</v>
      </c>
      <c r="AO51" s="176">
        <f t="shared" si="8"/>
        <v>0</v>
      </c>
      <c r="AP51" s="175">
        <f t="shared" si="9"/>
        <v>0</v>
      </c>
      <c r="AQ51" s="172">
        <f>IF(AC51&gt;0,Masts!C20,0)</f>
        <v>0</v>
      </c>
      <c r="AR51" s="173">
        <f t="shared" si="11"/>
        <v>0</v>
      </c>
      <c r="AS51" s="56">
        <f>'Ship Data Metric'!E52*0.03280839895</f>
        <v>0</v>
      </c>
      <c r="AT51" s="96"/>
      <c r="AU51" s="172">
        <f t="shared" si="12"/>
        <v>0</v>
      </c>
      <c r="AV51" s="173">
        <f t="shared" si="13"/>
        <v>0</v>
      </c>
      <c r="AW51" s="174">
        <f t="shared" si="14"/>
        <v>0</v>
      </c>
      <c r="AX51" s="175">
        <f t="shared" si="15"/>
        <v>0</v>
      </c>
      <c r="AY51" s="176">
        <f t="shared" si="16"/>
        <v>0</v>
      </c>
      <c r="AZ51" s="172">
        <f t="shared" si="17"/>
        <v>0</v>
      </c>
      <c r="BA51" s="173">
        <f t="shared" si="18"/>
        <v>0</v>
      </c>
    </row>
    <row r="52" ht="15.75" customHeight="1">
      <c r="Z52" s="5"/>
      <c r="AA52" s="96"/>
      <c r="AB52" s="76" t="s">
        <v>26</v>
      </c>
      <c r="AC52" s="56">
        <f>IF('Ship Data Imperial'!E53&gt;0,'Ship Data Imperial'!E53,AS52)</f>
        <v>0</v>
      </c>
      <c r="AD52" s="77" t="str">
        <f>'Ship Data Imperial'!F41</f>
        <v/>
      </c>
      <c r="AE52" s="77" t="str">
        <f>'Ship Data Imperial'!G41</f>
        <v/>
      </c>
      <c r="AF52" s="171"/>
      <c r="AG52" s="172">
        <f>IF(AC52&gt;0,Masts!$C$9,0)</f>
        <v>0</v>
      </c>
      <c r="AH52" s="173">
        <f t="shared" si="31"/>
        <v>0</v>
      </c>
      <c r="AI52" s="174">
        <f>IF(AC52&gt;0,Masts!$C$14*0.8421,0)</f>
        <v>0</v>
      </c>
      <c r="AJ52" s="175">
        <f t="shared" si="37"/>
        <v>0</v>
      </c>
      <c r="AK52" s="176">
        <f t="shared" si="5"/>
        <v>0</v>
      </c>
      <c r="AL52" s="172">
        <f t="shared" si="32"/>
        <v>0</v>
      </c>
      <c r="AM52" s="173">
        <f t="shared" si="6"/>
        <v>0</v>
      </c>
      <c r="AN52" s="174">
        <f t="shared" si="7"/>
        <v>0</v>
      </c>
      <c r="AO52" s="176">
        <f t="shared" si="8"/>
        <v>0</v>
      </c>
      <c r="AP52" s="175">
        <f t="shared" si="9"/>
        <v>0</v>
      </c>
      <c r="AQ52" s="172">
        <f>IF(AC52&gt;0,Masts!C21,0)</f>
        <v>0</v>
      </c>
      <c r="AR52" s="173">
        <f t="shared" si="11"/>
        <v>0</v>
      </c>
      <c r="AS52" s="56">
        <f>'Ship Data Metric'!E53*0.03280839895</f>
        <v>0</v>
      </c>
      <c r="AT52" s="96"/>
      <c r="AU52" s="172">
        <f t="shared" si="12"/>
        <v>0</v>
      </c>
      <c r="AV52" s="173">
        <f t="shared" si="13"/>
        <v>0</v>
      </c>
      <c r="AW52" s="174">
        <f t="shared" si="14"/>
        <v>0</v>
      </c>
      <c r="AX52" s="175">
        <f t="shared" si="15"/>
        <v>0</v>
      </c>
      <c r="AY52" s="176">
        <f t="shared" si="16"/>
        <v>0</v>
      </c>
      <c r="AZ52" s="172">
        <f t="shared" si="17"/>
        <v>0</v>
      </c>
      <c r="BA52" s="173">
        <f t="shared" si="18"/>
        <v>0</v>
      </c>
    </row>
    <row r="53" ht="15.75" customHeight="1">
      <c r="Z53" s="5"/>
      <c r="AA53" s="96"/>
      <c r="AB53" s="76" t="s">
        <v>27</v>
      </c>
      <c r="AC53" s="56">
        <f>IF('Ship Data Imperial'!E54&gt;0,'Ship Data Imperial'!E54,AS53)</f>
        <v>0</v>
      </c>
      <c r="AD53" s="77" t="str">
        <f>'Ship Data Imperial'!F42</f>
        <v/>
      </c>
      <c r="AE53" s="77" t="str">
        <f>'Ship Data Imperial'!G42</f>
        <v/>
      </c>
      <c r="AF53" s="171"/>
      <c r="AG53" s="172">
        <f>IF(AC53&gt;0,Masts!$C$9,0)</f>
        <v>0</v>
      </c>
      <c r="AH53" s="173">
        <f t="shared" si="31"/>
        <v>0</v>
      </c>
      <c r="AI53" s="174">
        <f>IF(AC53&gt;0,Masts!$C$14*0.8421,0)</f>
        <v>0</v>
      </c>
      <c r="AJ53" s="175">
        <f t="shared" si="37"/>
        <v>0</v>
      </c>
      <c r="AK53" s="176">
        <f t="shared" si="5"/>
        <v>0</v>
      </c>
      <c r="AL53" s="172">
        <f t="shared" si="32"/>
        <v>0</v>
      </c>
      <c r="AM53" s="173">
        <f t="shared" si="6"/>
        <v>0</v>
      </c>
      <c r="AN53" s="174">
        <f t="shared" si="7"/>
        <v>0</v>
      </c>
      <c r="AO53" s="176">
        <f t="shared" si="8"/>
        <v>0</v>
      </c>
      <c r="AP53" s="175">
        <f t="shared" si="9"/>
        <v>0</v>
      </c>
      <c r="AQ53" s="172">
        <f>IF(AC53&gt;0,Masts!C22,0)</f>
        <v>0</v>
      </c>
      <c r="AR53" s="173">
        <f t="shared" si="11"/>
        <v>0</v>
      </c>
      <c r="AS53" s="56">
        <f>'Ship Data Metric'!E54*0.03280839895</f>
        <v>0</v>
      </c>
      <c r="AT53" s="96"/>
      <c r="AU53" s="172">
        <f t="shared" si="12"/>
        <v>0</v>
      </c>
      <c r="AV53" s="173">
        <f t="shared" si="13"/>
        <v>0</v>
      </c>
      <c r="AW53" s="174">
        <f t="shared" si="14"/>
        <v>0</v>
      </c>
      <c r="AX53" s="175">
        <f t="shared" si="15"/>
        <v>0</v>
      </c>
      <c r="AY53" s="176">
        <f t="shared" si="16"/>
        <v>0</v>
      </c>
      <c r="AZ53" s="172">
        <f t="shared" si="17"/>
        <v>0</v>
      </c>
      <c r="BA53" s="173">
        <f t="shared" si="18"/>
        <v>0</v>
      </c>
    </row>
    <row r="54" ht="15.75" customHeight="1">
      <c r="Z54" s="5"/>
      <c r="AA54" s="96"/>
      <c r="AB54" s="76" t="s">
        <v>28</v>
      </c>
      <c r="AC54" s="56">
        <f>IF('Ship Data Imperial'!E55&gt;0,'Ship Data Imperial'!E55,AS54)</f>
        <v>0</v>
      </c>
      <c r="AD54" s="77" t="str">
        <f>'Ship Data Imperial'!F43</f>
        <v/>
      </c>
      <c r="AE54" s="77" t="str">
        <f>'Ship Data Imperial'!G43</f>
        <v/>
      </c>
      <c r="AF54" s="171"/>
      <c r="AG54" s="172">
        <f>IF(AC54&gt;0,Masts!$C$9,0)</f>
        <v>0</v>
      </c>
      <c r="AH54" s="173">
        <f t="shared" si="31"/>
        <v>0</v>
      </c>
      <c r="AI54" s="174">
        <f>IF(AC54&gt;0,Masts!$C$14*0.8421,0)</f>
        <v>0</v>
      </c>
      <c r="AJ54" s="175">
        <f t="shared" si="37"/>
        <v>0</v>
      </c>
      <c r="AK54" s="176">
        <f t="shared" si="5"/>
        <v>0</v>
      </c>
      <c r="AL54" s="172">
        <f t="shared" si="32"/>
        <v>0</v>
      </c>
      <c r="AM54" s="173">
        <f t="shared" si="6"/>
        <v>0</v>
      </c>
      <c r="AN54" s="174">
        <f t="shared" si="7"/>
        <v>0</v>
      </c>
      <c r="AO54" s="176">
        <f t="shared" si="8"/>
        <v>0</v>
      </c>
      <c r="AP54" s="175">
        <f t="shared" si="9"/>
        <v>0</v>
      </c>
      <c r="AQ54" s="172">
        <f>IF(AC54&gt;0,Masts!C23,0)</f>
        <v>0</v>
      </c>
      <c r="AR54" s="173">
        <f t="shared" si="11"/>
        <v>0</v>
      </c>
      <c r="AS54" s="56">
        <f>'Ship Data Metric'!E55*0.03280839895</f>
        <v>0</v>
      </c>
      <c r="AT54" s="96"/>
      <c r="AU54" s="172">
        <f t="shared" si="12"/>
        <v>0</v>
      </c>
      <c r="AV54" s="173">
        <f t="shared" si="13"/>
        <v>0</v>
      </c>
      <c r="AW54" s="174">
        <f t="shared" si="14"/>
        <v>0</v>
      </c>
      <c r="AX54" s="175">
        <f t="shared" si="15"/>
        <v>0</v>
      </c>
      <c r="AY54" s="176">
        <f t="shared" si="16"/>
        <v>0</v>
      </c>
      <c r="AZ54" s="172">
        <f t="shared" si="17"/>
        <v>0</v>
      </c>
      <c r="BA54" s="173">
        <f t="shared" si="18"/>
        <v>0</v>
      </c>
    </row>
    <row r="55" ht="15.75" customHeight="1">
      <c r="Z55" s="5"/>
      <c r="AA55" s="96"/>
      <c r="AB55" s="76" t="s">
        <v>29</v>
      </c>
      <c r="AC55" s="56">
        <f>IF('Ship Data Imperial'!E56&gt;0,'Ship Data Imperial'!E56,AS55)</f>
        <v>0</v>
      </c>
      <c r="AD55" s="77" t="str">
        <f>'Ship Data Imperial'!F44</f>
        <v/>
      </c>
      <c r="AE55" s="77" t="str">
        <f>'Ship Data Imperial'!G44</f>
        <v/>
      </c>
      <c r="AF55" s="171"/>
      <c r="AG55" s="172">
        <f>IF(AC55&gt;0,Masts!$C$9,0)</f>
        <v>0</v>
      </c>
      <c r="AH55" s="173">
        <f t="shared" si="31"/>
        <v>0</v>
      </c>
      <c r="AI55" s="174">
        <f>IF(AC55&gt;0,Masts!$C$14*0.8421,0)</f>
        <v>0</v>
      </c>
      <c r="AJ55" s="175">
        <f t="shared" si="37"/>
        <v>0</v>
      </c>
      <c r="AK55" s="176">
        <f t="shared" si="5"/>
        <v>0</v>
      </c>
      <c r="AL55" s="172">
        <f t="shared" si="32"/>
        <v>0</v>
      </c>
      <c r="AM55" s="173">
        <f t="shared" si="6"/>
        <v>0</v>
      </c>
      <c r="AN55" s="174">
        <f t="shared" si="7"/>
        <v>0</v>
      </c>
      <c r="AO55" s="176">
        <f t="shared" si="8"/>
        <v>0</v>
      </c>
      <c r="AP55" s="175">
        <f t="shared" si="9"/>
        <v>0</v>
      </c>
      <c r="AQ55" s="172">
        <f>IF(AC55&gt;0,Masts!C24,0)</f>
        <v>0</v>
      </c>
      <c r="AR55" s="173">
        <f t="shared" si="11"/>
        <v>0</v>
      </c>
      <c r="AS55" s="56">
        <f>'Ship Data Metric'!E56*0.03280839895</f>
        <v>0</v>
      </c>
      <c r="AT55" s="96"/>
      <c r="AU55" s="172">
        <f t="shared" si="12"/>
        <v>0</v>
      </c>
      <c r="AV55" s="173">
        <f t="shared" si="13"/>
        <v>0</v>
      </c>
      <c r="AW55" s="174">
        <f t="shared" si="14"/>
        <v>0</v>
      </c>
      <c r="AX55" s="175">
        <f t="shared" si="15"/>
        <v>0</v>
      </c>
      <c r="AY55" s="176">
        <f t="shared" si="16"/>
        <v>0</v>
      </c>
      <c r="AZ55" s="172">
        <f t="shared" si="17"/>
        <v>0</v>
      </c>
      <c r="BA55" s="173">
        <f t="shared" si="18"/>
        <v>0</v>
      </c>
    </row>
    <row r="56" ht="15.75" customHeight="1">
      <c r="Z56" s="5"/>
      <c r="AA56" s="75" t="s">
        <v>38</v>
      </c>
      <c r="AB56" s="76" t="s">
        <v>24</v>
      </c>
      <c r="AC56" s="56">
        <f>IF('Ship Data Imperial'!E57&gt;0,'Ship Data Imperial'!E57,AS56)</f>
        <v>0</v>
      </c>
      <c r="AD56" s="77"/>
      <c r="AE56" s="77"/>
      <c r="AF56" s="171" t="str">
        <f>'Ship Data Imperial'!H57</f>
        <v/>
      </c>
      <c r="AG56" s="172">
        <f>IF(AC56&gt;0,Masts!$C$13*0.875,0)</f>
        <v>0</v>
      </c>
      <c r="AH56" s="173">
        <f t="shared" ref="AH56:AH135" si="39">IF(AC56&gt;0,$AG$136*0.875,0)</f>
        <v>0</v>
      </c>
      <c r="AI56" s="174">
        <f t="shared" ref="AI56:AI61" si="40">IF(AC56&gt;0,$C$13*1.05,0)</f>
        <v>0</v>
      </c>
      <c r="AJ56" s="175">
        <f t="shared" ref="AJ56:AJ61" si="41">IF(AC56&gt;0,$AG$136*0.5555,0)</f>
        <v>0</v>
      </c>
      <c r="AK56" s="176">
        <f t="shared" ref="AK56:AK61" si="42">IF(AC56&gt;0,$AH$136*0.5555,0)</f>
        <v>0</v>
      </c>
      <c r="AL56" s="172">
        <f t="shared" si="32"/>
        <v>0</v>
      </c>
      <c r="AM56" s="173">
        <f t="shared" ref="AM56:AM61" si="43">IF(AC56&gt;0,$AL$136/3,0)</f>
        <v>0</v>
      </c>
      <c r="AN56" s="174">
        <f t="shared" si="7"/>
        <v>0</v>
      </c>
      <c r="AO56" s="176">
        <f t="shared" si="8"/>
        <v>0</v>
      </c>
      <c r="AP56" s="175">
        <f t="shared" si="9"/>
        <v>0</v>
      </c>
      <c r="AQ56" s="172">
        <f t="shared" ref="AQ56:AQ61" si="44">IF(AC56&gt;0,$AH$136*0.7142,0)</f>
        <v>0</v>
      </c>
      <c r="AR56" s="173">
        <f t="shared" si="11"/>
        <v>0</v>
      </c>
      <c r="AS56" s="56">
        <f>'Ship Data Metric'!E57*0.03280839895</f>
        <v>0</v>
      </c>
      <c r="AT56" s="75" t="s">
        <v>38</v>
      </c>
      <c r="AU56" s="172">
        <f t="shared" si="12"/>
        <v>0</v>
      </c>
      <c r="AV56" s="173">
        <f t="shared" si="13"/>
        <v>0</v>
      </c>
      <c r="AW56" s="174">
        <f t="shared" si="14"/>
        <v>0</v>
      </c>
      <c r="AX56" s="175">
        <f t="shared" si="15"/>
        <v>0</v>
      </c>
      <c r="AY56" s="176">
        <f t="shared" si="16"/>
        <v>0</v>
      </c>
      <c r="AZ56" s="172">
        <f t="shared" si="17"/>
        <v>0</v>
      </c>
      <c r="BA56" s="173">
        <f t="shared" si="18"/>
        <v>0</v>
      </c>
    </row>
    <row r="57" ht="15.75" customHeight="1">
      <c r="Z57" s="5"/>
      <c r="AA57" s="96"/>
      <c r="AB57" s="76" t="s">
        <v>25</v>
      </c>
      <c r="AC57" s="56">
        <f>IF('Ship Data Imperial'!E58&gt;0,'Ship Data Imperial'!E58,AS57)</f>
        <v>0</v>
      </c>
      <c r="AD57" s="77"/>
      <c r="AE57" s="77"/>
      <c r="AF57" s="171" t="str">
        <f>'Ship Data Imperial'!H58</f>
        <v/>
      </c>
      <c r="AG57" s="172">
        <f>IF(AC57&gt;0,Masts!$C$13*0.875,0)</f>
        <v>0</v>
      </c>
      <c r="AH57" s="173">
        <f t="shared" si="39"/>
        <v>0</v>
      </c>
      <c r="AI57" s="174">
        <f t="shared" si="40"/>
        <v>0</v>
      </c>
      <c r="AJ57" s="175">
        <f t="shared" si="41"/>
        <v>0</v>
      </c>
      <c r="AK57" s="176">
        <f t="shared" si="42"/>
        <v>0</v>
      </c>
      <c r="AL57" s="172">
        <f t="shared" si="32"/>
        <v>0</v>
      </c>
      <c r="AM57" s="173">
        <f t="shared" si="43"/>
        <v>0</v>
      </c>
      <c r="AN57" s="174">
        <f t="shared" si="7"/>
        <v>0</v>
      </c>
      <c r="AO57" s="176">
        <f t="shared" si="8"/>
        <v>0</v>
      </c>
      <c r="AP57" s="175">
        <f t="shared" si="9"/>
        <v>0</v>
      </c>
      <c r="AQ57" s="172">
        <f t="shared" si="44"/>
        <v>0</v>
      </c>
      <c r="AR57" s="173">
        <f t="shared" si="11"/>
        <v>0</v>
      </c>
      <c r="AS57" s="56">
        <f>'Ship Data Metric'!E58*0.03280839895</f>
        <v>0</v>
      </c>
      <c r="AT57" s="96"/>
      <c r="AU57" s="172">
        <f t="shared" si="12"/>
        <v>0</v>
      </c>
      <c r="AV57" s="173">
        <f t="shared" si="13"/>
        <v>0</v>
      </c>
      <c r="AW57" s="174">
        <f t="shared" si="14"/>
        <v>0</v>
      </c>
      <c r="AX57" s="175">
        <f t="shared" si="15"/>
        <v>0</v>
      </c>
      <c r="AY57" s="176">
        <f t="shared" si="16"/>
        <v>0</v>
      </c>
      <c r="AZ57" s="172">
        <f t="shared" si="17"/>
        <v>0</v>
      </c>
      <c r="BA57" s="173">
        <f t="shared" si="18"/>
        <v>0</v>
      </c>
    </row>
    <row r="58" ht="15.75" customHeight="1">
      <c r="Z58" s="5"/>
      <c r="AA58" s="96"/>
      <c r="AB58" s="76" t="s">
        <v>26</v>
      </c>
      <c r="AC58" s="56">
        <f>IF('Ship Data Imperial'!E59&gt;0,'Ship Data Imperial'!E59,AS58)</f>
        <v>0</v>
      </c>
      <c r="AD58" s="77"/>
      <c r="AE58" s="77"/>
      <c r="AF58" s="171" t="str">
        <f>'Ship Data Imperial'!H59</f>
        <v/>
      </c>
      <c r="AG58" s="172">
        <f>IF(AC58&gt;0,Masts!$C$13*0.875,0)</f>
        <v>0</v>
      </c>
      <c r="AH58" s="173">
        <f t="shared" si="39"/>
        <v>0</v>
      </c>
      <c r="AI58" s="174">
        <f t="shared" si="40"/>
        <v>0</v>
      </c>
      <c r="AJ58" s="175">
        <f t="shared" si="41"/>
        <v>0</v>
      </c>
      <c r="AK58" s="176">
        <f t="shared" si="42"/>
        <v>0</v>
      </c>
      <c r="AL58" s="172">
        <f t="shared" si="32"/>
        <v>0</v>
      </c>
      <c r="AM58" s="173">
        <f t="shared" si="43"/>
        <v>0</v>
      </c>
      <c r="AN58" s="174">
        <f t="shared" si="7"/>
        <v>0</v>
      </c>
      <c r="AO58" s="176">
        <f t="shared" si="8"/>
        <v>0</v>
      </c>
      <c r="AP58" s="175">
        <f t="shared" si="9"/>
        <v>0</v>
      </c>
      <c r="AQ58" s="172">
        <f t="shared" si="44"/>
        <v>0</v>
      </c>
      <c r="AR58" s="173">
        <f t="shared" si="11"/>
        <v>0</v>
      </c>
      <c r="AS58" s="56">
        <f>'Ship Data Metric'!E59*0.03280839895</f>
        <v>0</v>
      </c>
      <c r="AT58" s="96"/>
      <c r="AU58" s="172">
        <f t="shared" si="12"/>
        <v>0</v>
      </c>
      <c r="AV58" s="173">
        <f t="shared" si="13"/>
        <v>0</v>
      </c>
      <c r="AW58" s="174">
        <f t="shared" si="14"/>
        <v>0</v>
      </c>
      <c r="AX58" s="175">
        <f t="shared" si="15"/>
        <v>0</v>
      </c>
      <c r="AY58" s="176">
        <f t="shared" si="16"/>
        <v>0</v>
      </c>
      <c r="AZ58" s="172">
        <f t="shared" si="17"/>
        <v>0</v>
      </c>
      <c r="BA58" s="173">
        <f t="shared" si="18"/>
        <v>0</v>
      </c>
    </row>
    <row r="59" ht="15.75" customHeight="1">
      <c r="Z59" s="5"/>
      <c r="AA59" s="96"/>
      <c r="AB59" s="76" t="s">
        <v>27</v>
      </c>
      <c r="AC59" s="56">
        <f>IF('Ship Data Imperial'!E60&gt;0,'Ship Data Imperial'!E60,AS59)</f>
        <v>0</v>
      </c>
      <c r="AD59" s="77"/>
      <c r="AE59" s="77"/>
      <c r="AF59" s="171" t="str">
        <f>'Ship Data Imperial'!H60</f>
        <v/>
      </c>
      <c r="AG59" s="172">
        <f>IF(AC59&gt;0,Masts!$C$13*0.875,0)</f>
        <v>0</v>
      </c>
      <c r="AH59" s="173">
        <f t="shared" si="39"/>
        <v>0</v>
      </c>
      <c r="AI59" s="174">
        <f t="shared" si="40"/>
        <v>0</v>
      </c>
      <c r="AJ59" s="175">
        <f t="shared" si="41"/>
        <v>0</v>
      </c>
      <c r="AK59" s="176">
        <f t="shared" si="42"/>
        <v>0</v>
      </c>
      <c r="AL59" s="172">
        <f t="shared" si="32"/>
        <v>0</v>
      </c>
      <c r="AM59" s="173">
        <f t="shared" si="43"/>
        <v>0</v>
      </c>
      <c r="AN59" s="174">
        <f t="shared" si="7"/>
        <v>0</v>
      </c>
      <c r="AO59" s="176">
        <f t="shared" si="8"/>
        <v>0</v>
      </c>
      <c r="AP59" s="175">
        <f t="shared" si="9"/>
        <v>0</v>
      </c>
      <c r="AQ59" s="172">
        <f t="shared" si="44"/>
        <v>0</v>
      </c>
      <c r="AR59" s="173">
        <f t="shared" si="11"/>
        <v>0</v>
      </c>
      <c r="AS59" s="56">
        <f>'Ship Data Metric'!E60*0.03280839895</f>
        <v>0</v>
      </c>
      <c r="AT59" s="96"/>
      <c r="AU59" s="172">
        <f t="shared" si="12"/>
        <v>0</v>
      </c>
      <c r="AV59" s="173">
        <f t="shared" si="13"/>
        <v>0</v>
      </c>
      <c r="AW59" s="174">
        <f t="shared" si="14"/>
        <v>0</v>
      </c>
      <c r="AX59" s="175">
        <f t="shared" si="15"/>
        <v>0</v>
      </c>
      <c r="AY59" s="176">
        <f t="shared" si="16"/>
        <v>0</v>
      </c>
      <c r="AZ59" s="172">
        <f t="shared" si="17"/>
        <v>0</v>
      </c>
      <c r="BA59" s="173">
        <f t="shared" si="18"/>
        <v>0</v>
      </c>
    </row>
    <row r="60" ht="15.75" customHeight="1">
      <c r="Z60" s="5"/>
      <c r="AA60" s="96"/>
      <c r="AB60" s="76" t="s">
        <v>28</v>
      </c>
      <c r="AC60" s="56">
        <f>IF('Ship Data Imperial'!E61&gt;0,'Ship Data Imperial'!E61,AS60)</f>
        <v>0</v>
      </c>
      <c r="AD60" s="77"/>
      <c r="AE60" s="77"/>
      <c r="AF60" s="171" t="str">
        <f>'Ship Data Imperial'!H61</f>
        <v/>
      </c>
      <c r="AG60" s="172">
        <f>IF(AC60&gt;0,Masts!$C$13*0.875,0)</f>
        <v>0</v>
      </c>
      <c r="AH60" s="173">
        <f t="shared" si="39"/>
        <v>0</v>
      </c>
      <c r="AI60" s="174">
        <f t="shared" si="40"/>
        <v>0</v>
      </c>
      <c r="AJ60" s="175">
        <f t="shared" si="41"/>
        <v>0</v>
      </c>
      <c r="AK60" s="176">
        <f t="shared" si="42"/>
        <v>0</v>
      </c>
      <c r="AL60" s="172">
        <f t="shared" si="32"/>
        <v>0</v>
      </c>
      <c r="AM60" s="173">
        <f t="shared" si="43"/>
        <v>0</v>
      </c>
      <c r="AN60" s="174">
        <f t="shared" si="7"/>
        <v>0</v>
      </c>
      <c r="AO60" s="176">
        <f t="shared" si="8"/>
        <v>0</v>
      </c>
      <c r="AP60" s="175">
        <f t="shared" si="9"/>
        <v>0</v>
      </c>
      <c r="AQ60" s="172">
        <f t="shared" si="44"/>
        <v>0</v>
      </c>
      <c r="AR60" s="173">
        <f t="shared" si="11"/>
        <v>0</v>
      </c>
      <c r="AS60" s="56">
        <f>'Ship Data Metric'!E61*0.03280839895</f>
        <v>0</v>
      </c>
      <c r="AT60" s="96"/>
      <c r="AU60" s="172">
        <f t="shared" si="12"/>
        <v>0</v>
      </c>
      <c r="AV60" s="173">
        <f t="shared" si="13"/>
        <v>0</v>
      </c>
      <c r="AW60" s="174">
        <f t="shared" si="14"/>
        <v>0</v>
      </c>
      <c r="AX60" s="175">
        <f t="shared" si="15"/>
        <v>0</v>
      </c>
      <c r="AY60" s="176">
        <f t="shared" si="16"/>
        <v>0</v>
      </c>
      <c r="AZ60" s="172">
        <f t="shared" si="17"/>
        <v>0</v>
      </c>
      <c r="BA60" s="173">
        <f t="shared" si="18"/>
        <v>0</v>
      </c>
    </row>
    <row r="61" ht="15.75" customHeight="1">
      <c r="Z61" s="5"/>
      <c r="AA61" s="96"/>
      <c r="AB61" s="76" t="s">
        <v>29</v>
      </c>
      <c r="AC61" s="56">
        <f>IF('Ship Data Imperial'!E62&gt;0,'Ship Data Imperial'!E62,AS61)</f>
        <v>0</v>
      </c>
      <c r="AD61" s="77"/>
      <c r="AE61" s="77"/>
      <c r="AF61" s="171" t="str">
        <f>'Ship Data Imperial'!H62</f>
        <v/>
      </c>
      <c r="AG61" s="172">
        <f>IF(AC61&gt;0,Masts!$C$13*0.875,0)</f>
        <v>0</v>
      </c>
      <c r="AH61" s="173">
        <f t="shared" si="39"/>
        <v>0</v>
      </c>
      <c r="AI61" s="174">
        <f t="shared" si="40"/>
        <v>0</v>
      </c>
      <c r="AJ61" s="175">
        <f t="shared" si="41"/>
        <v>0</v>
      </c>
      <c r="AK61" s="176">
        <f t="shared" si="42"/>
        <v>0</v>
      </c>
      <c r="AL61" s="172">
        <f t="shared" si="32"/>
        <v>0</v>
      </c>
      <c r="AM61" s="173">
        <f t="shared" si="43"/>
        <v>0</v>
      </c>
      <c r="AN61" s="174">
        <f t="shared" si="7"/>
        <v>0</v>
      </c>
      <c r="AO61" s="176">
        <f t="shared" si="8"/>
        <v>0</v>
      </c>
      <c r="AP61" s="175">
        <f t="shared" si="9"/>
        <v>0</v>
      </c>
      <c r="AQ61" s="172">
        <f t="shared" si="44"/>
        <v>0</v>
      </c>
      <c r="AR61" s="173">
        <f t="shared" si="11"/>
        <v>0</v>
      </c>
      <c r="AS61" s="56">
        <f>'Ship Data Metric'!E62*0.03280839895</f>
        <v>0</v>
      </c>
      <c r="AT61" s="96"/>
      <c r="AU61" s="172">
        <f t="shared" si="12"/>
        <v>0</v>
      </c>
      <c r="AV61" s="173">
        <f t="shared" si="13"/>
        <v>0</v>
      </c>
      <c r="AW61" s="174">
        <f t="shared" si="14"/>
        <v>0</v>
      </c>
      <c r="AX61" s="175">
        <f t="shared" si="15"/>
        <v>0</v>
      </c>
      <c r="AY61" s="176">
        <f t="shared" si="16"/>
        <v>0</v>
      </c>
      <c r="AZ61" s="172">
        <f t="shared" si="17"/>
        <v>0</v>
      </c>
      <c r="BA61" s="173">
        <f t="shared" si="18"/>
        <v>0</v>
      </c>
    </row>
    <row r="62" ht="15.75" customHeight="1">
      <c r="Z62" s="5"/>
      <c r="AA62" s="75" t="s">
        <v>39</v>
      </c>
      <c r="AB62" s="158" t="s">
        <v>24</v>
      </c>
      <c r="AC62" s="56">
        <f>IF('Ship Data Imperial'!E63&gt;0,'Ship Data Imperial'!E63,AS62)</f>
        <v>0</v>
      </c>
      <c r="AD62" s="77"/>
      <c r="AE62" s="77"/>
      <c r="AF62" s="171" t="str">
        <f>'Ship Data Imperial'!H63</f>
        <v/>
      </c>
      <c r="AG62" s="172">
        <f>IF(AC62&gt;0,Masts!$AF$62*0.571,0)</f>
        <v>0</v>
      </c>
      <c r="AH62" s="173">
        <f t="shared" si="39"/>
        <v>0</v>
      </c>
      <c r="AI62" s="174">
        <f t="shared" ref="AI62:AI85" si="45">IF(AC62&gt;0,$C$8,0)</f>
        <v>0</v>
      </c>
      <c r="AJ62" s="175">
        <f t="shared" ref="AJ62:AJ97" si="46">IF(AC62&gt;0,$AG$136*0.72,0)</f>
        <v>0</v>
      </c>
      <c r="AK62" s="176">
        <f t="shared" ref="AK62:AK97" si="47">IF(AC62&gt;0,$AH$136*0.72,0)</f>
        <v>0</v>
      </c>
      <c r="AL62" s="172">
        <f t="shared" ref="AL62:AL135" si="48">IF(AC62&gt;0,$AG$136*0.8333,0)</f>
        <v>0</v>
      </c>
      <c r="AM62" s="173">
        <f t="shared" ref="AM62:AM97" si="49">IF(AC62&gt;0,$AI$136*0.75,0)</f>
        <v>0</v>
      </c>
      <c r="AN62" s="174">
        <f t="shared" si="7"/>
        <v>0</v>
      </c>
      <c r="AO62" s="176">
        <f t="shared" si="8"/>
        <v>0</v>
      </c>
      <c r="AP62" s="175">
        <f t="shared" si="9"/>
        <v>0</v>
      </c>
      <c r="AQ62" s="172">
        <f t="shared" ref="AQ62:AQ135" si="50">IF(AC62&gt;0,$AK$136,0)</f>
        <v>0</v>
      </c>
      <c r="AR62" s="173">
        <f t="shared" ref="AR62:AR97" si="51">IF(AC62&gt;0,$AQ$136*0.666,0)</f>
        <v>0</v>
      </c>
      <c r="AS62" s="56">
        <f>'Ship Data Metric'!E63*0.03280839895</f>
        <v>0</v>
      </c>
      <c r="AT62" s="75" t="s">
        <v>39</v>
      </c>
      <c r="AU62" s="172">
        <f t="shared" si="12"/>
        <v>0</v>
      </c>
      <c r="AV62" s="173">
        <f t="shared" si="13"/>
        <v>0</v>
      </c>
      <c r="AW62" s="174">
        <f t="shared" ref="AW62:AW135" si="52">IF(AC62&gt;0,($AN$136/3)*0.6,0)</f>
        <v>0</v>
      </c>
      <c r="AX62" s="175">
        <f t="shared" ref="AX62:AX135" si="53">IF(AC62&gt;0,($AO$136/3)*0.6,0)</f>
        <v>0</v>
      </c>
      <c r="AY62" s="176">
        <f t="shared" si="16"/>
        <v>0</v>
      </c>
      <c r="AZ62" s="172">
        <f t="shared" ref="AZ62:AZ135" si="54">IF(AC62&gt;0,($AR$136/3)*0.6,0)</f>
        <v>0</v>
      </c>
      <c r="BA62" s="173">
        <f t="shared" ref="BA62:BA135" si="55">IF(AC62&gt;0,($AL$136/3)*0.5384,0)</f>
        <v>0</v>
      </c>
    </row>
    <row r="63" ht="15.75" customHeight="1">
      <c r="Z63" s="5"/>
      <c r="AA63" s="75"/>
      <c r="AB63" s="158" t="s">
        <v>25</v>
      </c>
      <c r="AC63" s="56">
        <f>IF('Ship Data Imperial'!E64&gt;0,'Ship Data Imperial'!E64,AS63)</f>
        <v>0</v>
      </c>
      <c r="AD63" s="77"/>
      <c r="AE63" s="77"/>
      <c r="AF63" s="171" t="str">
        <f>'Ship Data Imperial'!H64</f>
        <v/>
      </c>
      <c r="AG63" s="172">
        <f>IF(AC63&gt;0,Masts!$AF$62*0.571,0)</f>
        <v>0</v>
      </c>
      <c r="AH63" s="173">
        <f t="shared" si="39"/>
        <v>0</v>
      </c>
      <c r="AI63" s="174">
        <f t="shared" si="45"/>
        <v>0</v>
      </c>
      <c r="AJ63" s="175">
        <f t="shared" si="46"/>
        <v>0</v>
      </c>
      <c r="AK63" s="176">
        <f t="shared" si="47"/>
        <v>0</v>
      </c>
      <c r="AL63" s="172">
        <f t="shared" si="48"/>
        <v>0</v>
      </c>
      <c r="AM63" s="173">
        <f t="shared" si="49"/>
        <v>0</v>
      </c>
      <c r="AN63" s="174">
        <f t="shared" si="7"/>
        <v>0</v>
      </c>
      <c r="AO63" s="176">
        <f t="shared" si="8"/>
        <v>0</v>
      </c>
      <c r="AP63" s="175">
        <f t="shared" si="9"/>
        <v>0</v>
      </c>
      <c r="AQ63" s="172">
        <f t="shared" si="50"/>
        <v>0</v>
      </c>
      <c r="AR63" s="173">
        <f t="shared" si="51"/>
        <v>0</v>
      </c>
      <c r="AS63" s="56">
        <f>'Ship Data Metric'!E64*0.03280839895</f>
        <v>0</v>
      </c>
      <c r="AT63" s="75"/>
      <c r="AU63" s="172">
        <f t="shared" si="12"/>
        <v>0</v>
      </c>
      <c r="AV63" s="173">
        <f t="shared" si="13"/>
        <v>0</v>
      </c>
      <c r="AW63" s="174">
        <f t="shared" si="52"/>
        <v>0</v>
      </c>
      <c r="AX63" s="175">
        <f t="shared" si="53"/>
        <v>0</v>
      </c>
      <c r="AY63" s="176">
        <f t="shared" si="16"/>
        <v>0</v>
      </c>
      <c r="AZ63" s="172">
        <f t="shared" si="54"/>
        <v>0</v>
      </c>
      <c r="BA63" s="173">
        <f t="shared" si="55"/>
        <v>0</v>
      </c>
    </row>
    <row r="64" ht="15.75" customHeight="1">
      <c r="Z64" s="5"/>
      <c r="AA64" s="75"/>
      <c r="AB64" s="158" t="s">
        <v>40</v>
      </c>
      <c r="AC64" s="56">
        <f>IF('Ship Data Imperial'!E65&gt;0,'Ship Data Imperial'!E65,AS64)</f>
        <v>0</v>
      </c>
      <c r="AD64" s="77"/>
      <c r="AE64" s="77"/>
      <c r="AF64" s="171" t="str">
        <f>'Ship Data Imperial'!H65</f>
        <v/>
      </c>
      <c r="AG64" s="172">
        <f>IF(AC64&gt;0,Masts!$AF$62*0.571,0)</f>
        <v>0</v>
      </c>
      <c r="AH64" s="173">
        <f t="shared" si="39"/>
        <v>0</v>
      </c>
      <c r="AI64" s="174">
        <f t="shared" si="45"/>
        <v>0</v>
      </c>
      <c r="AJ64" s="175">
        <f t="shared" si="46"/>
        <v>0</v>
      </c>
      <c r="AK64" s="176">
        <f t="shared" si="47"/>
        <v>0</v>
      </c>
      <c r="AL64" s="172">
        <f t="shared" si="48"/>
        <v>0</v>
      </c>
      <c r="AM64" s="173">
        <f t="shared" si="49"/>
        <v>0</v>
      </c>
      <c r="AN64" s="174">
        <f t="shared" si="7"/>
        <v>0</v>
      </c>
      <c r="AO64" s="176">
        <f t="shared" si="8"/>
        <v>0</v>
      </c>
      <c r="AP64" s="175">
        <f t="shared" si="9"/>
        <v>0</v>
      </c>
      <c r="AQ64" s="172">
        <f t="shared" si="50"/>
        <v>0</v>
      </c>
      <c r="AR64" s="173">
        <f t="shared" si="51"/>
        <v>0</v>
      </c>
      <c r="AS64" s="56">
        <f>'Ship Data Metric'!E65*0.03280839895</f>
        <v>0</v>
      </c>
      <c r="AT64" s="75"/>
      <c r="AU64" s="172">
        <f t="shared" si="12"/>
        <v>0</v>
      </c>
      <c r="AV64" s="173">
        <f t="shared" si="13"/>
        <v>0</v>
      </c>
      <c r="AW64" s="174">
        <f t="shared" si="52"/>
        <v>0</v>
      </c>
      <c r="AX64" s="175">
        <f t="shared" si="53"/>
        <v>0</v>
      </c>
      <c r="AY64" s="176">
        <f t="shared" si="16"/>
        <v>0</v>
      </c>
      <c r="AZ64" s="172">
        <f t="shared" si="54"/>
        <v>0</v>
      </c>
      <c r="BA64" s="173">
        <f t="shared" si="55"/>
        <v>0</v>
      </c>
    </row>
    <row r="65" ht="15.75" customHeight="1">
      <c r="Z65" s="5"/>
      <c r="AA65" s="75"/>
      <c r="AB65" s="158" t="s">
        <v>41</v>
      </c>
      <c r="AC65" s="56">
        <f>IF('Ship Data Imperial'!E66&gt;0,'Ship Data Imperial'!E66,AS65)</f>
        <v>0</v>
      </c>
      <c r="AD65" s="77"/>
      <c r="AE65" s="77"/>
      <c r="AF65" s="171" t="str">
        <f>'Ship Data Imperial'!H66</f>
        <v/>
      </c>
      <c r="AG65" s="172">
        <f>IF(AC65&gt;0,Masts!$AF$62*0.571,0)</f>
        <v>0</v>
      </c>
      <c r="AH65" s="173">
        <f t="shared" si="39"/>
        <v>0</v>
      </c>
      <c r="AI65" s="174">
        <f t="shared" si="45"/>
        <v>0</v>
      </c>
      <c r="AJ65" s="175">
        <f t="shared" si="46"/>
        <v>0</v>
      </c>
      <c r="AK65" s="176">
        <f t="shared" si="47"/>
        <v>0</v>
      </c>
      <c r="AL65" s="172">
        <f t="shared" si="48"/>
        <v>0</v>
      </c>
      <c r="AM65" s="173">
        <f t="shared" si="49"/>
        <v>0</v>
      </c>
      <c r="AN65" s="174">
        <f t="shared" si="7"/>
        <v>0</v>
      </c>
      <c r="AO65" s="176">
        <f t="shared" si="8"/>
        <v>0</v>
      </c>
      <c r="AP65" s="175">
        <f t="shared" si="9"/>
        <v>0</v>
      </c>
      <c r="AQ65" s="172">
        <f t="shared" si="50"/>
        <v>0</v>
      </c>
      <c r="AR65" s="173">
        <f t="shared" si="51"/>
        <v>0</v>
      </c>
      <c r="AS65" s="56">
        <f>'Ship Data Metric'!E66*0.03280839895</f>
        <v>0</v>
      </c>
      <c r="AT65" s="75"/>
      <c r="AU65" s="172">
        <f t="shared" si="12"/>
        <v>0</v>
      </c>
      <c r="AV65" s="173">
        <f t="shared" si="13"/>
        <v>0</v>
      </c>
      <c r="AW65" s="174">
        <f t="shared" si="52"/>
        <v>0</v>
      </c>
      <c r="AX65" s="175">
        <f t="shared" si="53"/>
        <v>0</v>
      </c>
      <c r="AY65" s="176">
        <f t="shared" si="16"/>
        <v>0</v>
      </c>
      <c r="AZ65" s="172">
        <f t="shared" si="54"/>
        <v>0</v>
      </c>
      <c r="BA65" s="173">
        <f t="shared" si="55"/>
        <v>0</v>
      </c>
    </row>
    <row r="66" ht="15.75" customHeight="1">
      <c r="Z66" s="5"/>
      <c r="AA66" s="75"/>
      <c r="AB66" s="158" t="s">
        <v>42</v>
      </c>
      <c r="AC66" s="56">
        <f>IF('Ship Data Imperial'!E67&gt;0,'Ship Data Imperial'!E67,AS66)</f>
        <v>0</v>
      </c>
      <c r="AD66" s="77"/>
      <c r="AE66" s="77"/>
      <c r="AF66" s="171" t="str">
        <f>'Ship Data Imperial'!H67</f>
        <v/>
      </c>
      <c r="AG66" s="172">
        <f>IF(AC66&gt;0,Masts!$AF$62*0.571,0)</f>
        <v>0</v>
      </c>
      <c r="AH66" s="173">
        <f t="shared" si="39"/>
        <v>0</v>
      </c>
      <c r="AI66" s="174">
        <f t="shared" si="45"/>
        <v>0</v>
      </c>
      <c r="AJ66" s="175">
        <f t="shared" si="46"/>
        <v>0</v>
      </c>
      <c r="AK66" s="176">
        <f t="shared" si="47"/>
        <v>0</v>
      </c>
      <c r="AL66" s="172">
        <f t="shared" si="48"/>
        <v>0</v>
      </c>
      <c r="AM66" s="173">
        <f t="shared" si="49"/>
        <v>0</v>
      </c>
      <c r="AN66" s="174">
        <f t="shared" si="7"/>
        <v>0</v>
      </c>
      <c r="AO66" s="176">
        <f t="shared" si="8"/>
        <v>0</v>
      </c>
      <c r="AP66" s="175">
        <f t="shared" si="9"/>
        <v>0</v>
      </c>
      <c r="AQ66" s="172">
        <f t="shared" si="50"/>
        <v>0</v>
      </c>
      <c r="AR66" s="173">
        <f t="shared" si="51"/>
        <v>0</v>
      </c>
      <c r="AS66" s="56">
        <f>'Ship Data Metric'!E67*0.03280839895</f>
        <v>0</v>
      </c>
      <c r="AT66" s="75"/>
      <c r="AU66" s="172">
        <f t="shared" si="12"/>
        <v>0</v>
      </c>
      <c r="AV66" s="173">
        <f t="shared" si="13"/>
        <v>0</v>
      </c>
      <c r="AW66" s="174">
        <f t="shared" si="52"/>
        <v>0</v>
      </c>
      <c r="AX66" s="175">
        <f t="shared" si="53"/>
        <v>0</v>
      </c>
      <c r="AY66" s="176">
        <f t="shared" si="16"/>
        <v>0</v>
      </c>
      <c r="AZ66" s="172">
        <f t="shared" si="54"/>
        <v>0</v>
      </c>
      <c r="BA66" s="173">
        <f t="shared" si="55"/>
        <v>0</v>
      </c>
    </row>
    <row r="67" ht="15.75" customHeight="1">
      <c r="Z67" s="5"/>
      <c r="AA67" s="75"/>
      <c r="AB67" s="158" t="s">
        <v>43</v>
      </c>
      <c r="AC67" s="56">
        <f>IF('Ship Data Imperial'!E68&gt;0,'Ship Data Imperial'!E68,AS67)</f>
        <v>0</v>
      </c>
      <c r="AD67" s="77"/>
      <c r="AE67" s="77"/>
      <c r="AF67" s="171" t="str">
        <f>'Ship Data Imperial'!H68</f>
        <v/>
      </c>
      <c r="AG67" s="172">
        <f>IF(AC67&gt;0,Masts!$AF$62*0.571,0)</f>
        <v>0</v>
      </c>
      <c r="AH67" s="173">
        <f t="shared" si="39"/>
        <v>0</v>
      </c>
      <c r="AI67" s="174">
        <f t="shared" si="45"/>
        <v>0</v>
      </c>
      <c r="AJ67" s="175">
        <f t="shared" si="46"/>
        <v>0</v>
      </c>
      <c r="AK67" s="176">
        <f t="shared" si="47"/>
        <v>0</v>
      </c>
      <c r="AL67" s="172">
        <f t="shared" si="48"/>
        <v>0</v>
      </c>
      <c r="AM67" s="173">
        <f t="shared" si="49"/>
        <v>0</v>
      </c>
      <c r="AN67" s="174">
        <f t="shared" si="7"/>
        <v>0</v>
      </c>
      <c r="AO67" s="176">
        <f t="shared" si="8"/>
        <v>0</v>
      </c>
      <c r="AP67" s="175">
        <f t="shared" si="9"/>
        <v>0</v>
      </c>
      <c r="AQ67" s="172">
        <f t="shared" si="50"/>
        <v>0</v>
      </c>
      <c r="AR67" s="173">
        <f t="shared" si="51"/>
        <v>0</v>
      </c>
      <c r="AS67" s="56">
        <f>'Ship Data Metric'!E68*0.03280839895</f>
        <v>0</v>
      </c>
      <c r="AT67" s="75"/>
      <c r="AU67" s="172">
        <f t="shared" si="12"/>
        <v>0</v>
      </c>
      <c r="AV67" s="173">
        <f t="shared" si="13"/>
        <v>0</v>
      </c>
      <c r="AW67" s="174">
        <f t="shared" si="52"/>
        <v>0</v>
      </c>
      <c r="AX67" s="175">
        <f t="shared" si="53"/>
        <v>0</v>
      </c>
      <c r="AY67" s="176">
        <f t="shared" si="16"/>
        <v>0</v>
      </c>
      <c r="AZ67" s="172">
        <f t="shared" si="54"/>
        <v>0</v>
      </c>
      <c r="BA67" s="173">
        <f t="shared" si="55"/>
        <v>0</v>
      </c>
    </row>
    <row r="68" ht="15.75" customHeight="1">
      <c r="Z68" s="5"/>
      <c r="AA68" s="75"/>
      <c r="AB68" s="158" t="s">
        <v>44</v>
      </c>
      <c r="AC68" s="56">
        <f>IF('Ship Data Imperial'!E69&gt;0,'Ship Data Imperial'!E69,AS68)</f>
        <v>0</v>
      </c>
      <c r="AD68" s="77"/>
      <c r="AE68" s="77"/>
      <c r="AF68" s="171" t="str">
        <f>'Ship Data Imperial'!H69</f>
        <v/>
      </c>
      <c r="AG68" s="172">
        <f>IF(AC68&gt;0,Masts!$AF$62*0.571,0)</f>
        <v>0</v>
      </c>
      <c r="AH68" s="173">
        <f t="shared" si="39"/>
        <v>0</v>
      </c>
      <c r="AI68" s="174">
        <f t="shared" si="45"/>
        <v>0</v>
      </c>
      <c r="AJ68" s="175">
        <f t="shared" si="46"/>
        <v>0</v>
      </c>
      <c r="AK68" s="176">
        <f t="shared" si="47"/>
        <v>0</v>
      </c>
      <c r="AL68" s="172">
        <f t="shared" si="48"/>
        <v>0</v>
      </c>
      <c r="AM68" s="173">
        <f t="shared" si="49"/>
        <v>0</v>
      </c>
      <c r="AN68" s="174">
        <f t="shared" si="7"/>
        <v>0</v>
      </c>
      <c r="AO68" s="176">
        <f t="shared" si="8"/>
        <v>0</v>
      </c>
      <c r="AP68" s="175">
        <f t="shared" si="9"/>
        <v>0</v>
      </c>
      <c r="AQ68" s="172">
        <f t="shared" si="50"/>
        <v>0</v>
      </c>
      <c r="AR68" s="173">
        <f t="shared" si="51"/>
        <v>0</v>
      </c>
      <c r="AS68" s="56">
        <f>'Ship Data Metric'!E69*0.03280839895</f>
        <v>0</v>
      </c>
      <c r="AT68" s="75"/>
      <c r="AU68" s="172">
        <f t="shared" si="12"/>
        <v>0</v>
      </c>
      <c r="AV68" s="173">
        <f t="shared" si="13"/>
        <v>0</v>
      </c>
      <c r="AW68" s="174">
        <f t="shared" si="52"/>
        <v>0</v>
      </c>
      <c r="AX68" s="175">
        <f t="shared" si="53"/>
        <v>0</v>
      </c>
      <c r="AY68" s="176">
        <f t="shared" si="16"/>
        <v>0</v>
      </c>
      <c r="AZ68" s="172">
        <f t="shared" si="54"/>
        <v>0</v>
      </c>
      <c r="BA68" s="173">
        <f t="shared" si="55"/>
        <v>0</v>
      </c>
    </row>
    <row r="69" ht="15.75" customHeight="1">
      <c r="Z69" s="5"/>
      <c r="AA69" s="75"/>
      <c r="AB69" s="158" t="s">
        <v>45</v>
      </c>
      <c r="AC69" s="56">
        <f>IF('Ship Data Imperial'!E70&gt;0,'Ship Data Imperial'!E70,AS69)</f>
        <v>0</v>
      </c>
      <c r="AD69" s="77"/>
      <c r="AE69" s="77"/>
      <c r="AF69" s="171" t="str">
        <f>'Ship Data Imperial'!H70</f>
        <v/>
      </c>
      <c r="AG69" s="172">
        <f>IF(AC69&gt;0,Masts!$AF$62*0.571,0)</f>
        <v>0</v>
      </c>
      <c r="AH69" s="173">
        <f t="shared" si="39"/>
        <v>0</v>
      </c>
      <c r="AI69" s="174">
        <f t="shared" si="45"/>
        <v>0</v>
      </c>
      <c r="AJ69" s="175">
        <f t="shared" si="46"/>
        <v>0</v>
      </c>
      <c r="AK69" s="176">
        <f t="shared" si="47"/>
        <v>0</v>
      </c>
      <c r="AL69" s="172">
        <f t="shared" si="48"/>
        <v>0</v>
      </c>
      <c r="AM69" s="173">
        <f t="shared" si="49"/>
        <v>0</v>
      </c>
      <c r="AN69" s="174">
        <f t="shared" si="7"/>
        <v>0</v>
      </c>
      <c r="AO69" s="176">
        <f t="shared" si="8"/>
        <v>0</v>
      </c>
      <c r="AP69" s="175">
        <f t="shared" si="9"/>
        <v>0</v>
      </c>
      <c r="AQ69" s="172">
        <f t="shared" si="50"/>
        <v>0</v>
      </c>
      <c r="AR69" s="173">
        <f t="shared" si="51"/>
        <v>0</v>
      </c>
      <c r="AS69" s="56">
        <f>'Ship Data Metric'!E70*0.03280839895</f>
        <v>0</v>
      </c>
      <c r="AT69" s="75"/>
      <c r="AU69" s="172">
        <f t="shared" si="12"/>
        <v>0</v>
      </c>
      <c r="AV69" s="173">
        <f t="shared" si="13"/>
        <v>0</v>
      </c>
      <c r="AW69" s="174">
        <f t="shared" si="52"/>
        <v>0</v>
      </c>
      <c r="AX69" s="175">
        <f t="shared" si="53"/>
        <v>0</v>
      </c>
      <c r="AY69" s="176">
        <f t="shared" si="16"/>
        <v>0</v>
      </c>
      <c r="AZ69" s="172">
        <f t="shared" si="54"/>
        <v>0</v>
      </c>
      <c r="BA69" s="173">
        <f t="shared" si="55"/>
        <v>0</v>
      </c>
    </row>
    <row r="70" ht="15.75" customHeight="1">
      <c r="Z70" s="5"/>
      <c r="AA70" s="75"/>
      <c r="AB70" s="158" t="s">
        <v>46</v>
      </c>
      <c r="AC70" s="56">
        <f>IF('Ship Data Imperial'!E71&gt;0,'Ship Data Imperial'!E71,AS70)</f>
        <v>0</v>
      </c>
      <c r="AD70" s="77"/>
      <c r="AE70" s="77"/>
      <c r="AF70" s="171" t="str">
        <f>'Ship Data Imperial'!H71</f>
        <v/>
      </c>
      <c r="AG70" s="172">
        <f>IF(AC70&gt;0,Masts!$AF$62*0.571,0)</f>
        <v>0</v>
      </c>
      <c r="AH70" s="173">
        <f t="shared" si="39"/>
        <v>0</v>
      </c>
      <c r="AI70" s="174">
        <f t="shared" si="45"/>
        <v>0</v>
      </c>
      <c r="AJ70" s="175">
        <f t="shared" si="46"/>
        <v>0</v>
      </c>
      <c r="AK70" s="176">
        <f t="shared" si="47"/>
        <v>0</v>
      </c>
      <c r="AL70" s="172">
        <f t="shared" si="48"/>
        <v>0</v>
      </c>
      <c r="AM70" s="173">
        <f t="shared" si="49"/>
        <v>0</v>
      </c>
      <c r="AN70" s="174">
        <f t="shared" si="7"/>
        <v>0</v>
      </c>
      <c r="AO70" s="176">
        <f t="shared" si="8"/>
        <v>0</v>
      </c>
      <c r="AP70" s="175">
        <f t="shared" si="9"/>
        <v>0</v>
      </c>
      <c r="AQ70" s="172">
        <f t="shared" si="50"/>
        <v>0</v>
      </c>
      <c r="AR70" s="173">
        <f t="shared" si="51"/>
        <v>0</v>
      </c>
      <c r="AS70" s="56">
        <f>'Ship Data Metric'!E71*0.03280839895</f>
        <v>0</v>
      </c>
      <c r="AT70" s="75"/>
      <c r="AU70" s="172">
        <f t="shared" si="12"/>
        <v>0</v>
      </c>
      <c r="AV70" s="173">
        <f t="shared" si="13"/>
        <v>0</v>
      </c>
      <c r="AW70" s="174">
        <f t="shared" si="52"/>
        <v>0</v>
      </c>
      <c r="AX70" s="175">
        <f t="shared" si="53"/>
        <v>0</v>
      </c>
      <c r="AY70" s="176">
        <f t="shared" si="16"/>
        <v>0</v>
      </c>
      <c r="AZ70" s="172">
        <f t="shared" si="54"/>
        <v>0</v>
      </c>
      <c r="BA70" s="173">
        <f t="shared" si="55"/>
        <v>0</v>
      </c>
    </row>
    <row r="71" ht="15.75" customHeight="1">
      <c r="Z71" s="5"/>
      <c r="AA71" s="75" t="s">
        <v>47</v>
      </c>
      <c r="AB71" s="158" t="s">
        <v>24</v>
      </c>
      <c r="AC71" s="56">
        <f>IF('Ship Data Imperial'!E72&gt;0,'Ship Data Imperial'!E72,AS71)</f>
        <v>0</v>
      </c>
      <c r="AD71" s="77"/>
      <c r="AE71" s="77"/>
      <c r="AF71" s="171" t="str">
        <f>'Ship Data Imperial'!H72</f>
        <v/>
      </c>
      <c r="AG71" s="172">
        <f>IF(AC71&gt;0,Masts!$AF$62*0.571,0)</f>
        <v>0</v>
      </c>
      <c r="AH71" s="173">
        <f t="shared" si="39"/>
        <v>0</v>
      </c>
      <c r="AI71" s="174">
        <f t="shared" si="45"/>
        <v>0</v>
      </c>
      <c r="AJ71" s="175">
        <f t="shared" si="46"/>
        <v>0</v>
      </c>
      <c r="AK71" s="176">
        <f t="shared" si="47"/>
        <v>0</v>
      </c>
      <c r="AL71" s="172">
        <f t="shared" si="48"/>
        <v>0</v>
      </c>
      <c r="AM71" s="173">
        <f t="shared" si="49"/>
        <v>0</v>
      </c>
      <c r="AN71" s="174">
        <f t="shared" si="7"/>
        <v>0</v>
      </c>
      <c r="AO71" s="176">
        <f t="shared" si="8"/>
        <v>0</v>
      </c>
      <c r="AP71" s="175">
        <f t="shared" si="9"/>
        <v>0</v>
      </c>
      <c r="AQ71" s="172">
        <f t="shared" si="50"/>
        <v>0</v>
      </c>
      <c r="AR71" s="173">
        <f t="shared" si="51"/>
        <v>0</v>
      </c>
      <c r="AS71" s="56">
        <f>'Ship Data Metric'!E72*0.03280839895</f>
        <v>0</v>
      </c>
      <c r="AT71" s="75" t="s">
        <v>47</v>
      </c>
      <c r="AU71" s="172">
        <f t="shared" si="12"/>
        <v>0</v>
      </c>
      <c r="AV71" s="173">
        <f t="shared" si="13"/>
        <v>0</v>
      </c>
      <c r="AW71" s="174">
        <f t="shared" si="52"/>
        <v>0</v>
      </c>
      <c r="AX71" s="175">
        <f t="shared" si="53"/>
        <v>0</v>
      </c>
      <c r="AY71" s="176">
        <f t="shared" si="16"/>
        <v>0</v>
      </c>
      <c r="AZ71" s="172">
        <f t="shared" si="54"/>
        <v>0</v>
      </c>
      <c r="BA71" s="173">
        <f t="shared" si="55"/>
        <v>0</v>
      </c>
    </row>
    <row r="72" ht="15.75" customHeight="1">
      <c r="Z72" s="5"/>
      <c r="AA72" s="75"/>
      <c r="AB72" s="158" t="s">
        <v>25</v>
      </c>
      <c r="AC72" s="56">
        <f>IF('Ship Data Imperial'!E73&gt;0,'Ship Data Imperial'!E73,AS72)</f>
        <v>0</v>
      </c>
      <c r="AD72" s="77"/>
      <c r="AE72" s="77"/>
      <c r="AF72" s="171" t="str">
        <f>'Ship Data Imperial'!H73</f>
        <v/>
      </c>
      <c r="AG72" s="172">
        <f>IF(AC72&gt;0,Masts!$AF$62*0.571,0)</f>
        <v>0</v>
      </c>
      <c r="AH72" s="173">
        <f t="shared" si="39"/>
        <v>0</v>
      </c>
      <c r="AI72" s="174">
        <f t="shared" si="45"/>
        <v>0</v>
      </c>
      <c r="AJ72" s="175">
        <f t="shared" si="46"/>
        <v>0</v>
      </c>
      <c r="AK72" s="176">
        <f t="shared" si="47"/>
        <v>0</v>
      </c>
      <c r="AL72" s="172">
        <f t="shared" si="48"/>
        <v>0</v>
      </c>
      <c r="AM72" s="173">
        <f t="shared" si="49"/>
        <v>0</v>
      </c>
      <c r="AN72" s="174">
        <f t="shared" si="7"/>
        <v>0</v>
      </c>
      <c r="AO72" s="176">
        <f t="shared" si="8"/>
        <v>0</v>
      </c>
      <c r="AP72" s="175">
        <f t="shared" si="9"/>
        <v>0</v>
      </c>
      <c r="AQ72" s="172">
        <f t="shared" si="50"/>
        <v>0</v>
      </c>
      <c r="AR72" s="173">
        <f t="shared" si="51"/>
        <v>0</v>
      </c>
      <c r="AS72" s="56">
        <f>'Ship Data Metric'!E73*0.03280839895</f>
        <v>0</v>
      </c>
      <c r="AT72" s="75"/>
      <c r="AU72" s="172">
        <f t="shared" si="12"/>
        <v>0</v>
      </c>
      <c r="AV72" s="173">
        <f t="shared" si="13"/>
        <v>0</v>
      </c>
      <c r="AW72" s="174">
        <f t="shared" si="52"/>
        <v>0</v>
      </c>
      <c r="AX72" s="175">
        <f t="shared" si="53"/>
        <v>0</v>
      </c>
      <c r="AY72" s="176">
        <f t="shared" si="16"/>
        <v>0</v>
      </c>
      <c r="AZ72" s="172">
        <f t="shared" si="54"/>
        <v>0</v>
      </c>
      <c r="BA72" s="173">
        <f t="shared" si="55"/>
        <v>0</v>
      </c>
    </row>
    <row r="73" ht="15.75" customHeight="1">
      <c r="Z73" s="5"/>
      <c r="AA73" s="75"/>
      <c r="AB73" s="158" t="s">
        <v>40</v>
      </c>
      <c r="AC73" s="56">
        <f>IF('Ship Data Imperial'!E74&gt;0,'Ship Data Imperial'!E74,AS73)</f>
        <v>0</v>
      </c>
      <c r="AD73" s="77"/>
      <c r="AE73" s="77"/>
      <c r="AF73" s="171" t="str">
        <f>'Ship Data Imperial'!H74</f>
        <v/>
      </c>
      <c r="AG73" s="172">
        <f>IF(AC73&gt;0,Masts!$AF$62*0.571,0)</f>
        <v>0</v>
      </c>
      <c r="AH73" s="173">
        <f t="shared" si="39"/>
        <v>0</v>
      </c>
      <c r="AI73" s="174">
        <f t="shared" si="45"/>
        <v>0</v>
      </c>
      <c r="AJ73" s="175">
        <f t="shared" si="46"/>
        <v>0</v>
      </c>
      <c r="AK73" s="176">
        <f t="shared" si="47"/>
        <v>0</v>
      </c>
      <c r="AL73" s="172">
        <f t="shared" si="48"/>
        <v>0</v>
      </c>
      <c r="AM73" s="173">
        <f t="shared" si="49"/>
        <v>0</v>
      </c>
      <c r="AN73" s="174">
        <f t="shared" si="7"/>
        <v>0</v>
      </c>
      <c r="AO73" s="176">
        <f t="shared" si="8"/>
        <v>0</v>
      </c>
      <c r="AP73" s="175">
        <f t="shared" si="9"/>
        <v>0</v>
      </c>
      <c r="AQ73" s="172">
        <f t="shared" si="50"/>
        <v>0</v>
      </c>
      <c r="AR73" s="173">
        <f t="shared" si="51"/>
        <v>0</v>
      </c>
      <c r="AS73" s="56">
        <f>'Ship Data Metric'!E74*0.03280839895</f>
        <v>0</v>
      </c>
      <c r="AT73" s="75"/>
      <c r="AU73" s="172">
        <f t="shared" si="12"/>
        <v>0</v>
      </c>
      <c r="AV73" s="173">
        <f t="shared" si="13"/>
        <v>0</v>
      </c>
      <c r="AW73" s="174">
        <f t="shared" si="52"/>
        <v>0</v>
      </c>
      <c r="AX73" s="175">
        <f t="shared" si="53"/>
        <v>0</v>
      </c>
      <c r="AY73" s="176">
        <f t="shared" si="16"/>
        <v>0</v>
      </c>
      <c r="AZ73" s="172">
        <f t="shared" si="54"/>
        <v>0</v>
      </c>
      <c r="BA73" s="173">
        <f t="shared" si="55"/>
        <v>0</v>
      </c>
    </row>
    <row r="74" ht="15.75" customHeight="1">
      <c r="Z74" s="5"/>
      <c r="AA74" s="75"/>
      <c r="AB74" s="158" t="s">
        <v>41</v>
      </c>
      <c r="AC74" s="56">
        <f>IF('Ship Data Imperial'!E75&gt;0,'Ship Data Imperial'!E75,AS74)</f>
        <v>0</v>
      </c>
      <c r="AD74" s="77"/>
      <c r="AE74" s="77"/>
      <c r="AF74" s="171" t="str">
        <f>'Ship Data Imperial'!H75</f>
        <v/>
      </c>
      <c r="AG74" s="172">
        <f>IF(AC74&gt;0,Masts!$AF$62*0.571,0)</f>
        <v>0</v>
      </c>
      <c r="AH74" s="173">
        <f t="shared" si="39"/>
        <v>0</v>
      </c>
      <c r="AI74" s="174">
        <f t="shared" si="45"/>
        <v>0</v>
      </c>
      <c r="AJ74" s="175">
        <f t="shared" si="46"/>
        <v>0</v>
      </c>
      <c r="AK74" s="176">
        <f t="shared" si="47"/>
        <v>0</v>
      </c>
      <c r="AL74" s="172">
        <f t="shared" si="48"/>
        <v>0</v>
      </c>
      <c r="AM74" s="173">
        <f t="shared" si="49"/>
        <v>0</v>
      </c>
      <c r="AN74" s="174">
        <f t="shared" si="7"/>
        <v>0</v>
      </c>
      <c r="AO74" s="176">
        <f t="shared" si="8"/>
        <v>0</v>
      </c>
      <c r="AP74" s="175">
        <f t="shared" si="9"/>
        <v>0</v>
      </c>
      <c r="AQ74" s="172">
        <f t="shared" si="50"/>
        <v>0</v>
      </c>
      <c r="AR74" s="173">
        <f t="shared" si="51"/>
        <v>0</v>
      </c>
      <c r="AS74" s="56">
        <f>'Ship Data Metric'!E75*0.03280839895</f>
        <v>0</v>
      </c>
      <c r="AT74" s="75"/>
      <c r="AU74" s="172">
        <f t="shared" si="12"/>
        <v>0</v>
      </c>
      <c r="AV74" s="173">
        <f t="shared" si="13"/>
        <v>0</v>
      </c>
      <c r="AW74" s="174">
        <f t="shared" si="52"/>
        <v>0</v>
      </c>
      <c r="AX74" s="175">
        <f t="shared" si="53"/>
        <v>0</v>
      </c>
      <c r="AY74" s="176">
        <f t="shared" si="16"/>
        <v>0</v>
      </c>
      <c r="AZ74" s="172">
        <f t="shared" si="54"/>
        <v>0</v>
      </c>
      <c r="BA74" s="173">
        <f t="shared" si="55"/>
        <v>0</v>
      </c>
    </row>
    <row r="75" ht="15.75" customHeight="1">
      <c r="Z75" s="5"/>
      <c r="AA75" s="75"/>
      <c r="AB75" s="158" t="s">
        <v>42</v>
      </c>
      <c r="AC75" s="56">
        <f>IF('Ship Data Imperial'!E76&gt;0,'Ship Data Imperial'!E76,AS75)</f>
        <v>0</v>
      </c>
      <c r="AD75" s="77"/>
      <c r="AE75" s="77"/>
      <c r="AF75" s="171" t="str">
        <f>'Ship Data Imperial'!H76</f>
        <v/>
      </c>
      <c r="AG75" s="172">
        <f>IF(AC75&gt;0,Masts!$AF$62*0.571,0)</f>
        <v>0</v>
      </c>
      <c r="AH75" s="173">
        <f t="shared" si="39"/>
        <v>0</v>
      </c>
      <c r="AI75" s="174">
        <f t="shared" si="45"/>
        <v>0</v>
      </c>
      <c r="AJ75" s="175">
        <f t="shared" si="46"/>
        <v>0</v>
      </c>
      <c r="AK75" s="176">
        <f t="shared" si="47"/>
        <v>0</v>
      </c>
      <c r="AL75" s="172">
        <f t="shared" si="48"/>
        <v>0</v>
      </c>
      <c r="AM75" s="173">
        <f t="shared" si="49"/>
        <v>0</v>
      </c>
      <c r="AN75" s="174">
        <f t="shared" si="7"/>
        <v>0</v>
      </c>
      <c r="AO75" s="176">
        <f t="shared" si="8"/>
        <v>0</v>
      </c>
      <c r="AP75" s="175">
        <f t="shared" si="9"/>
        <v>0</v>
      </c>
      <c r="AQ75" s="172">
        <f t="shared" si="50"/>
        <v>0</v>
      </c>
      <c r="AR75" s="173">
        <f t="shared" si="51"/>
        <v>0</v>
      </c>
      <c r="AS75" s="56">
        <f>'Ship Data Metric'!E76*0.03280839895</f>
        <v>0</v>
      </c>
      <c r="AT75" s="75"/>
      <c r="AU75" s="172">
        <f t="shared" si="12"/>
        <v>0</v>
      </c>
      <c r="AV75" s="173">
        <f t="shared" si="13"/>
        <v>0</v>
      </c>
      <c r="AW75" s="174">
        <f t="shared" si="52"/>
        <v>0</v>
      </c>
      <c r="AX75" s="175">
        <f t="shared" si="53"/>
        <v>0</v>
      </c>
      <c r="AY75" s="176">
        <f t="shared" si="16"/>
        <v>0</v>
      </c>
      <c r="AZ75" s="172">
        <f t="shared" si="54"/>
        <v>0</v>
      </c>
      <c r="BA75" s="173">
        <f t="shared" si="55"/>
        <v>0</v>
      </c>
    </row>
    <row r="76" ht="15.75" customHeight="1">
      <c r="Z76" s="5"/>
      <c r="AA76" s="75"/>
      <c r="AB76" s="158" t="s">
        <v>43</v>
      </c>
      <c r="AC76" s="56">
        <f>IF('Ship Data Imperial'!E77&gt;0,'Ship Data Imperial'!E77,AS76)</f>
        <v>0</v>
      </c>
      <c r="AD76" s="77"/>
      <c r="AE76" s="77"/>
      <c r="AF76" s="171" t="str">
        <f>'Ship Data Imperial'!H77</f>
        <v/>
      </c>
      <c r="AG76" s="172">
        <f>IF(AC76&gt;0,Masts!$AF$62*0.571,0)</f>
        <v>0</v>
      </c>
      <c r="AH76" s="173">
        <f t="shared" si="39"/>
        <v>0</v>
      </c>
      <c r="AI76" s="174">
        <f t="shared" si="45"/>
        <v>0</v>
      </c>
      <c r="AJ76" s="175">
        <f t="shared" si="46"/>
        <v>0</v>
      </c>
      <c r="AK76" s="176">
        <f t="shared" si="47"/>
        <v>0</v>
      </c>
      <c r="AL76" s="172">
        <f t="shared" si="48"/>
        <v>0</v>
      </c>
      <c r="AM76" s="173">
        <f t="shared" si="49"/>
        <v>0</v>
      </c>
      <c r="AN76" s="174">
        <f t="shared" si="7"/>
        <v>0</v>
      </c>
      <c r="AO76" s="176">
        <f t="shared" si="8"/>
        <v>0</v>
      </c>
      <c r="AP76" s="175">
        <f t="shared" si="9"/>
        <v>0</v>
      </c>
      <c r="AQ76" s="172">
        <f t="shared" si="50"/>
        <v>0</v>
      </c>
      <c r="AR76" s="173">
        <f t="shared" si="51"/>
        <v>0</v>
      </c>
      <c r="AS76" s="56">
        <f>'Ship Data Metric'!E77*0.03280839895</f>
        <v>0</v>
      </c>
      <c r="AT76" s="75"/>
      <c r="AU76" s="172">
        <f t="shared" si="12"/>
        <v>0</v>
      </c>
      <c r="AV76" s="173">
        <f t="shared" si="13"/>
        <v>0</v>
      </c>
      <c r="AW76" s="174">
        <f t="shared" si="52"/>
        <v>0</v>
      </c>
      <c r="AX76" s="175">
        <f t="shared" si="53"/>
        <v>0</v>
      </c>
      <c r="AY76" s="176">
        <f t="shared" si="16"/>
        <v>0</v>
      </c>
      <c r="AZ76" s="172">
        <f t="shared" si="54"/>
        <v>0</v>
      </c>
      <c r="BA76" s="173">
        <f t="shared" si="55"/>
        <v>0</v>
      </c>
    </row>
    <row r="77" ht="15.75" customHeight="1">
      <c r="Z77" s="5"/>
      <c r="AA77" s="75"/>
      <c r="AB77" s="158" t="s">
        <v>44</v>
      </c>
      <c r="AC77" s="56">
        <f>IF('Ship Data Imperial'!E78&gt;0,'Ship Data Imperial'!E78,AS77)</f>
        <v>0</v>
      </c>
      <c r="AD77" s="77"/>
      <c r="AE77" s="77"/>
      <c r="AF77" s="171" t="str">
        <f>'Ship Data Imperial'!H78</f>
        <v/>
      </c>
      <c r="AG77" s="172">
        <f>IF(AC77&gt;0,Masts!$AF$62*0.571,0)</f>
        <v>0</v>
      </c>
      <c r="AH77" s="173">
        <f t="shared" si="39"/>
        <v>0</v>
      </c>
      <c r="AI77" s="174">
        <f t="shared" si="45"/>
        <v>0</v>
      </c>
      <c r="AJ77" s="175">
        <f t="shared" si="46"/>
        <v>0</v>
      </c>
      <c r="AK77" s="176">
        <f t="shared" si="47"/>
        <v>0</v>
      </c>
      <c r="AL77" s="172">
        <f t="shared" si="48"/>
        <v>0</v>
      </c>
      <c r="AM77" s="173">
        <f t="shared" si="49"/>
        <v>0</v>
      </c>
      <c r="AN77" s="174">
        <f t="shared" si="7"/>
        <v>0</v>
      </c>
      <c r="AO77" s="176">
        <f t="shared" si="8"/>
        <v>0</v>
      </c>
      <c r="AP77" s="175">
        <f t="shared" si="9"/>
        <v>0</v>
      </c>
      <c r="AQ77" s="172">
        <f t="shared" si="50"/>
        <v>0</v>
      </c>
      <c r="AR77" s="173">
        <f t="shared" si="51"/>
        <v>0</v>
      </c>
      <c r="AS77" s="56">
        <f>'Ship Data Metric'!E78*0.03280839895</f>
        <v>0</v>
      </c>
      <c r="AT77" s="75"/>
      <c r="AU77" s="172">
        <f t="shared" si="12"/>
        <v>0</v>
      </c>
      <c r="AV77" s="173">
        <f t="shared" si="13"/>
        <v>0</v>
      </c>
      <c r="AW77" s="174">
        <f t="shared" si="52"/>
        <v>0</v>
      </c>
      <c r="AX77" s="175">
        <f t="shared" si="53"/>
        <v>0</v>
      </c>
      <c r="AY77" s="176">
        <f t="shared" si="16"/>
        <v>0</v>
      </c>
      <c r="AZ77" s="172">
        <f t="shared" si="54"/>
        <v>0</v>
      </c>
      <c r="BA77" s="173">
        <f t="shared" si="55"/>
        <v>0</v>
      </c>
    </row>
    <row r="78" ht="15.75" customHeight="1">
      <c r="Z78" s="5"/>
      <c r="AA78" s="75"/>
      <c r="AB78" s="158" t="s">
        <v>45</v>
      </c>
      <c r="AC78" s="56">
        <f>IF('Ship Data Imperial'!E79&gt;0,'Ship Data Imperial'!E79,AS78)</f>
        <v>0</v>
      </c>
      <c r="AD78" s="77"/>
      <c r="AE78" s="77"/>
      <c r="AF78" s="171" t="str">
        <f>'Ship Data Imperial'!H79</f>
        <v/>
      </c>
      <c r="AG78" s="172">
        <f>IF(AC78&gt;0,Masts!$AF$62*0.571,0)</f>
        <v>0</v>
      </c>
      <c r="AH78" s="173">
        <f t="shared" si="39"/>
        <v>0</v>
      </c>
      <c r="AI78" s="174">
        <f t="shared" si="45"/>
        <v>0</v>
      </c>
      <c r="AJ78" s="175">
        <f t="shared" si="46"/>
        <v>0</v>
      </c>
      <c r="AK78" s="176">
        <f t="shared" si="47"/>
        <v>0</v>
      </c>
      <c r="AL78" s="172">
        <f t="shared" si="48"/>
        <v>0</v>
      </c>
      <c r="AM78" s="173">
        <f t="shared" si="49"/>
        <v>0</v>
      </c>
      <c r="AN78" s="174">
        <f t="shared" si="7"/>
        <v>0</v>
      </c>
      <c r="AO78" s="176">
        <f t="shared" si="8"/>
        <v>0</v>
      </c>
      <c r="AP78" s="175">
        <f t="shared" si="9"/>
        <v>0</v>
      </c>
      <c r="AQ78" s="172">
        <f t="shared" si="50"/>
        <v>0</v>
      </c>
      <c r="AR78" s="173">
        <f t="shared" si="51"/>
        <v>0</v>
      </c>
      <c r="AS78" s="56">
        <f>'Ship Data Metric'!E79*0.03280839895</f>
        <v>0</v>
      </c>
      <c r="AT78" s="75"/>
      <c r="AU78" s="172">
        <f t="shared" si="12"/>
        <v>0</v>
      </c>
      <c r="AV78" s="173">
        <f t="shared" si="13"/>
        <v>0</v>
      </c>
      <c r="AW78" s="174">
        <f t="shared" si="52"/>
        <v>0</v>
      </c>
      <c r="AX78" s="175">
        <f t="shared" si="53"/>
        <v>0</v>
      </c>
      <c r="AY78" s="176">
        <f t="shared" si="16"/>
        <v>0</v>
      </c>
      <c r="AZ78" s="172">
        <f t="shared" si="54"/>
        <v>0</v>
      </c>
      <c r="BA78" s="173">
        <f t="shared" si="55"/>
        <v>0</v>
      </c>
    </row>
    <row r="79" ht="15.75" customHeight="1">
      <c r="Z79" s="5"/>
      <c r="AA79" s="75"/>
      <c r="AB79" s="158" t="s">
        <v>46</v>
      </c>
      <c r="AC79" s="56">
        <f>IF('Ship Data Imperial'!E80&gt;0,'Ship Data Imperial'!E80,AS79)</f>
        <v>0</v>
      </c>
      <c r="AD79" s="77"/>
      <c r="AE79" s="77"/>
      <c r="AF79" s="171" t="str">
        <f>'Ship Data Imperial'!H80</f>
        <v/>
      </c>
      <c r="AG79" s="172">
        <f>IF(AC79&gt;0,Masts!$AF$62*0.571,0)</f>
        <v>0</v>
      </c>
      <c r="AH79" s="173">
        <f t="shared" si="39"/>
        <v>0</v>
      </c>
      <c r="AI79" s="174">
        <f t="shared" si="45"/>
        <v>0</v>
      </c>
      <c r="AJ79" s="175">
        <f t="shared" si="46"/>
        <v>0</v>
      </c>
      <c r="AK79" s="176">
        <f t="shared" si="47"/>
        <v>0</v>
      </c>
      <c r="AL79" s="172">
        <f t="shared" si="48"/>
        <v>0</v>
      </c>
      <c r="AM79" s="173">
        <f t="shared" si="49"/>
        <v>0</v>
      </c>
      <c r="AN79" s="174">
        <f t="shared" si="7"/>
        <v>0</v>
      </c>
      <c r="AO79" s="176">
        <f t="shared" si="8"/>
        <v>0</v>
      </c>
      <c r="AP79" s="175">
        <f t="shared" si="9"/>
        <v>0</v>
      </c>
      <c r="AQ79" s="172">
        <f t="shared" si="50"/>
        <v>0</v>
      </c>
      <c r="AR79" s="173">
        <f t="shared" si="51"/>
        <v>0</v>
      </c>
      <c r="AS79" s="56">
        <f>'Ship Data Metric'!E80*0.03280839895</f>
        <v>0</v>
      </c>
      <c r="AT79" s="75"/>
      <c r="AU79" s="172">
        <f t="shared" si="12"/>
        <v>0</v>
      </c>
      <c r="AV79" s="173">
        <f t="shared" si="13"/>
        <v>0</v>
      </c>
      <c r="AW79" s="174">
        <f t="shared" si="52"/>
        <v>0</v>
      </c>
      <c r="AX79" s="175">
        <f t="shared" si="53"/>
        <v>0</v>
      </c>
      <c r="AY79" s="176">
        <f t="shared" si="16"/>
        <v>0</v>
      </c>
      <c r="AZ79" s="172">
        <f t="shared" si="54"/>
        <v>0</v>
      </c>
      <c r="BA79" s="173">
        <f t="shared" si="55"/>
        <v>0</v>
      </c>
    </row>
    <row r="80" ht="15.75" customHeight="1">
      <c r="Z80" s="5"/>
      <c r="AA80" s="75" t="s">
        <v>48</v>
      </c>
      <c r="AB80" s="76" t="s">
        <v>24</v>
      </c>
      <c r="AC80" s="56">
        <f>IF('Ship Data Imperial'!E81&gt;0,'Ship Data Imperial'!E81,AS80)</f>
        <v>0</v>
      </c>
      <c r="AD80" s="77"/>
      <c r="AE80" s="77"/>
      <c r="AF80" s="171"/>
      <c r="AG80" s="172">
        <f>IF(AC80&gt;0,Masts!$C$13*0.9,0)</f>
        <v>0</v>
      </c>
      <c r="AH80" s="173">
        <f t="shared" si="39"/>
        <v>0</v>
      </c>
      <c r="AI80" s="174">
        <f t="shared" si="45"/>
        <v>0</v>
      </c>
      <c r="AJ80" s="175">
        <f t="shared" si="46"/>
        <v>0</v>
      </c>
      <c r="AK80" s="176">
        <f t="shared" si="47"/>
        <v>0</v>
      </c>
      <c r="AL80" s="172">
        <f t="shared" si="48"/>
        <v>0</v>
      </c>
      <c r="AM80" s="173">
        <f t="shared" si="49"/>
        <v>0</v>
      </c>
      <c r="AN80" s="174">
        <f t="shared" si="7"/>
        <v>0</v>
      </c>
      <c r="AO80" s="176">
        <f t="shared" si="8"/>
        <v>0</v>
      </c>
      <c r="AP80" s="175">
        <f t="shared" si="9"/>
        <v>0</v>
      </c>
      <c r="AQ80" s="172">
        <f t="shared" si="50"/>
        <v>0</v>
      </c>
      <c r="AR80" s="173">
        <f t="shared" si="51"/>
        <v>0</v>
      </c>
      <c r="AS80" s="56">
        <f>'Ship Data Metric'!E81*0.03280839895</f>
        <v>0</v>
      </c>
      <c r="AT80" s="75" t="s">
        <v>48</v>
      </c>
      <c r="AU80" s="172">
        <f t="shared" si="12"/>
        <v>0</v>
      </c>
      <c r="AV80" s="173">
        <f t="shared" si="13"/>
        <v>0</v>
      </c>
      <c r="AW80" s="174">
        <f t="shared" si="52"/>
        <v>0</v>
      </c>
      <c r="AX80" s="175">
        <f t="shared" si="53"/>
        <v>0</v>
      </c>
      <c r="AY80" s="176">
        <f t="shared" si="16"/>
        <v>0</v>
      </c>
      <c r="AZ80" s="172">
        <f t="shared" si="54"/>
        <v>0</v>
      </c>
      <c r="BA80" s="173">
        <f t="shared" si="55"/>
        <v>0</v>
      </c>
    </row>
    <row r="81" ht="15.75" customHeight="1">
      <c r="Z81" s="5"/>
      <c r="AA81" s="75"/>
      <c r="AB81" s="76" t="s">
        <v>25</v>
      </c>
      <c r="AC81" s="56">
        <f>IF('Ship Data Imperial'!E82&gt;0,'Ship Data Imperial'!E82,AS81)</f>
        <v>0</v>
      </c>
      <c r="AD81" s="77"/>
      <c r="AE81" s="77"/>
      <c r="AF81" s="171"/>
      <c r="AG81" s="172">
        <f>IF(AC81&gt;0,Masts!$C$13*0.9,0)</f>
        <v>0</v>
      </c>
      <c r="AH81" s="173">
        <f t="shared" si="39"/>
        <v>0</v>
      </c>
      <c r="AI81" s="174">
        <f t="shared" si="45"/>
        <v>0</v>
      </c>
      <c r="AJ81" s="175">
        <f t="shared" si="46"/>
        <v>0</v>
      </c>
      <c r="AK81" s="176">
        <f t="shared" si="47"/>
        <v>0</v>
      </c>
      <c r="AL81" s="172">
        <f t="shared" si="48"/>
        <v>0</v>
      </c>
      <c r="AM81" s="173">
        <f t="shared" si="49"/>
        <v>0</v>
      </c>
      <c r="AN81" s="174">
        <f t="shared" si="7"/>
        <v>0</v>
      </c>
      <c r="AO81" s="176">
        <f t="shared" si="8"/>
        <v>0</v>
      </c>
      <c r="AP81" s="175">
        <f t="shared" si="9"/>
        <v>0</v>
      </c>
      <c r="AQ81" s="172">
        <f t="shared" si="50"/>
        <v>0</v>
      </c>
      <c r="AR81" s="173">
        <f t="shared" si="51"/>
        <v>0</v>
      </c>
      <c r="AS81" s="56">
        <f>'Ship Data Metric'!E82*0.03280839895</f>
        <v>0</v>
      </c>
      <c r="AT81" s="75"/>
      <c r="AU81" s="172">
        <f t="shared" si="12"/>
        <v>0</v>
      </c>
      <c r="AV81" s="173">
        <f t="shared" si="13"/>
        <v>0</v>
      </c>
      <c r="AW81" s="174">
        <f t="shared" si="52"/>
        <v>0</v>
      </c>
      <c r="AX81" s="175">
        <f t="shared" si="53"/>
        <v>0</v>
      </c>
      <c r="AY81" s="176">
        <f t="shared" si="16"/>
        <v>0</v>
      </c>
      <c r="AZ81" s="172">
        <f t="shared" si="54"/>
        <v>0</v>
      </c>
      <c r="BA81" s="173">
        <f t="shared" si="55"/>
        <v>0</v>
      </c>
    </row>
    <row r="82" ht="15.75" customHeight="1">
      <c r="Z82" s="5"/>
      <c r="AA82" s="75"/>
      <c r="AB82" s="76" t="s">
        <v>26</v>
      </c>
      <c r="AC82" s="56">
        <f>IF('Ship Data Imperial'!E83&gt;0,'Ship Data Imperial'!E83,AS82)</f>
        <v>0</v>
      </c>
      <c r="AD82" s="77"/>
      <c r="AE82" s="77"/>
      <c r="AF82" s="171"/>
      <c r="AG82" s="172">
        <f>IF(AC82&gt;0,Masts!$C$13*0.9,0)</f>
        <v>0</v>
      </c>
      <c r="AH82" s="173">
        <f t="shared" si="39"/>
        <v>0</v>
      </c>
      <c r="AI82" s="174">
        <f t="shared" si="45"/>
        <v>0</v>
      </c>
      <c r="AJ82" s="175">
        <f t="shared" si="46"/>
        <v>0</v>
      </c>
      <c r="AK82" s="176">
        <f t="shared" si="47"/>
        <v>0</v>
      </c>
      <c r="AL82" s="172">
        <f t="shared" si="48"/>
        <v>0</v>
      </c>
      <c r="AM82" s="173">
        <f t="shared" si="49"/>
        <v>0</v>
      </c>
      <c r="AN82" s="174">
        <f t="shared" si="7"/>
        <v>0</v>
      </c>
      <c r="AO82" s="176">
        <f t="shared" si="8"/>
        <v>0</v>
      </c>
      <c r="AP82" s="175">
        <f t="shared" si="9"/>
        <v>0</v>
      </c>
      <c r="AQ82" s="172">
        <f t="shared" si="50"/>
        <v>0</v>
      </c>
      <c r="AR82" s="173">
        <f t="shared" si="51"/>
        <v>0</v>
      </c>
      <c r="AS82" s="56">
        <f>'Ship Data Metric'!E83*0.03280839895</f>
        <v>0</v>
      </c>
      <c r="AT82" s="75"/>
      <c r="AU82" s="172">
        <f t="shared" si="12"/>
        <v>0</v>
      </c>
      <c r="AV82" s="173">
        <f t="shared" si="13"/>
        <v>0</v>
      </c>
      <c r="AW82" s="174">
        <f t="shared" si="52"/>
        <v>0</v>
      </c>
      <c r="AX82" s="175">
        <f t="shared" si="53"/>
        <v>0</v>
      </c>
      <c r="AY82" s="176">
        <f t="shared" si="16"/>
        <v>0</v>
      </c>
      <c r="AZ82" s="172">
        <f t="shared" si="54"/>
        <v>0</v>
      </c>
      <c r="BA82" s="173">
        <f t="shared" si="55"/>
        <v>0</v>
      </c>
    </row>
    <row r="83" ht="15.75" customHeight="1">
      <c r="Z83" s="5"/>
      <c r="AA83" s="75"/>
      <c r="AB83" s="76" t="s">
        <v>27</v>
      </c>
      <c r="AC83" s="56">
        <f>IF('Ship Data Imperial'!E84&gt;0,'Ship Data Imperial'!E84,AS83)</f>
        <v>0</v>
      </c>
      <c r="AD83" s="77"/>
      <c r="AE83" s="77"/>
      <c r="AF83" s="171"/>
      <c r="AG83" s="172">
        <f>IF(AC83&gt;0,Masts!$C$13*0.9,0)</f>
        <v>0</v>
      </c>
      <c r="AH83" s="173">
        <f t="shared" si="39"/>
        <v>0</v>
      </c>
      <c r="AI83" s="174">
        <f t="shared" si="45"/>
        <v>0</v>
      </c>
      <c r="AJ83" s="175">
        <f t="shared" si="46"/>
        <v>0</v>
      </c>
      <c r="AK83" s="176">
        <f t="shared" si="47"/>
        <v>0</v>
      </c>
      <c r="AL83" s="172">
        <f t="shared" si="48"/>
        <v>0</v>
      </c>
      <c r="AM83" s="173">
        <f t="shared" si="49"/>
        <v>0</v>
      </c>
      <c r="AN83" s="174">
        <f t="shared" si="7"/>
        <v>0</v>
      </c>
      <c r="AO83" s="176">
        <f t="shared" si="8"/>
        <v>0</v>
      </c>
      <c r="AP83" s="175">
        <f t="shared" si="9"/>
        <v>0</v>
      </c>
      <c r="AQ83" s="172">
        <f t="shared" si="50"/>
        <v>0</v>
      </c>
      <c r="AR83" s="173">
        <f t="shared" si="51"/>
        <v>0</v>
      </c>
      <c r="AS83" s="56">
        <f>'Ship Data Metric'!E84*0.03280839895</f>
        <v>0</v>
      </c>
      <c r="AT83" s="75"/>
      <c r="AU83" s="172">
        <f t="shared" si="12"/>
        <v>0</v>
      </c>
      <c r="AV83" s="173">
        <f t="shared" si="13"/>
        <v>0</v>
      </c>
      <c r="AW83" s="174">
        <f t="shared" si="52"/>
        <v>0</v>
      </c>
      <c r="AX83" s="175">
        <f t="shared" si="53"/>
        <v>0</v>
      </c>
      <c r="AY83" s="176">
        <f t="shared" si="16"/>
        <v>0</v>
      </c>
      <c r="AZ83" s="172">
        <f t="shared" si="54"/>
        <v>0</v>
      </c>
      <c r="BA83" s="173">
        <f t="shared" si="55"/>
        <v>0</v>
      </c>
    </row>
    <row r="84" ht="15.75" customHeight="1">
      <c r="Z84" s="5"/>
      <c r="AA84" s="75"/>
      <c r="AB84" s="76" t="s">
        <v>28</v>
      </c>
      <c r="AC84" s="56">
        <f>IF('Ship Data Imperial'!E85&gt;0,'Ship Data Imperial'!E85,AS84)</f>
        <v>0</v>
      </c>
      <c r="AD84" s="77"/>
      <c r="AE84" s="77"/>
      <c r="AF84" s="171"/>
      <c r="AG84" s="172">
        <f>IF(AC84&gt;0,Masts!$C$13*0.9,0)</f>
        <v>0</v>
      </c>
      <c r="AH84" s="173">
        <f t="shared" si="39"/>
        <v>0</v>
      </c>
      <c r="AI84" s="174">
        <f t="shared" si="45"/>
        <v>0</v>
      </c>
      <c r="AJ84" s="175">
        <f t="shared" si="46"/>
        <v>0</v>
      </c>
      <c r="AK84" s="176">
        <f t="shared" si="47"/>
        <v>0</v>
      </c>
      <c r="AL84" s="172">
        <f t="shared" si="48"/>
        <v>0</v>
      </c>
      <c r="AM84" s="173">
        <f t="shared" si="49"/>
        <v>0</v>
      </c>
      <c r="AN84" s="174">
        <f t="shared" si="7"/>
        <v>0</v>
      </c>
      <c r="AO84" s="176">
        <f t="shared" si="8"/>
        <v>0</v>
      </c>
      <c r="AP84" s="175">
        <f t="shared" si="9"/>
        <v>0</v>
      </c>
      <c r="AQ84" s="172">
        <f t="shared" si="50"/>
        <v>0</v>
      </c>
      <c r="AR84" s="173">
        <f t="shared" si="51"/>
        <v>0</v>
      </c>
      <c r="AS84" s="56">
        <f>'Ship Data Metric'!E85*0.03280839895</f>
        <v>0</v>
      </c>
      <c r="AT84" s="75"/>
      <c r="AU84" s="172">
        <f t="shared" si="12"/>
        <v>0</v>
      </c>
      <c r="AV84" s="173">
        <f t="shared" si="13"/>
        <v>0</v>
      </c>
      <c r="AW84" s="174">
        <f t="shared" si="52"/>
        <v>0</v>
      </c>
      <c r="AX84" s="175">
        <f t="shared" si="53"/>
        <v>0</v>
      </c>
      <c r="AY84" s="176">
        <f t="shared" si="16"/>
        <v>0</v>
      </c>
      <c r="AZ84" s="172">
        <f t="shared" si="54"/>
        <v>0</v>
      </c>
      <c r="BA84" s="173">
        <f t="shared" si="55"/>
        <v>0</v>
      </c>
    </row>
    <row r="85" ht="15.75" customHeight="1">
      <c r="Z85" s="5"/>
      <c r="AA85" s="75"/>
      <c r="AB85" s="76" t="s">
        <v>29</v>
      </c>
      <c r="AC85" s="56">
        <f>IF('Ship Data Imperial'!E86&gt;0,'Ship Data Imperial'!E86,AS85)</f>
        <v>0</v>
      </c>
      <c r="AD85" s="77"/>
      <c r="AE85" s="77"/>
      <c r="AF85" s="171"/>
      <c r="AG85" s="172">
        <f>IF(AC85&gt;0,Masts!$C$13*0.9,0)</f>
        <v>0</v>
      </c>
      <c r="AH85" s="173">
        <f t="shared" si="39"/>
        <v>0</v>
      </c>
      <c r="AI85" s="174">
        <f t="shared" si="45"/>
        <v>0</v>
      </c>
      <c r="AJ85" s="175">
        <f t="shared" si="46"/>
        <v>0</v>
      </c>
      <c r="AK85" s="176">
        <f t="shared" si="47"/>
        <v>0</v>
      </c>
      <c r="AL85" s="172">
        <f t="shared" si="48"/>
        <v>0</v>
      </c>
      <c r="AM85" s="173">
        <f t="shared" si="49"/>
        <v>0</v>
      </c>
      <c r="AN85" s="174">
        <f t="shared" si="7"/>
        <v>0</v>
      </c>
      <c r="AO85" s="176">
        <f t="shared" si="8"/>
        <v>0</v>
      </c>
      <c r="AP85" s="175">
        <f t="shared" si="9"/>
        <v>0</v>
      </c>
      <c r="AQ85" s="172">
        <f t="shared" si="50"/>
        <v>0</v>
      </c>
      <c r="AR85" s="173">
        <f t="shared" si="51"/>
        <v>0</v>
      </c>
      <c r="AS85" s="56">
        <f>'Ship Data Metric'!E86*0.03280839895</f>
        <v>0</v>
      </c>
      <c r="AT85" s="75"/>
      <c r="AU85" s="172">
        <f t="shared" si="12"/>
        <v>0</v>
      </c>
      <c r="AV85" s="173">
        <f t="shared" si="13"/>
        <v>0</v>
      </c>
      <c r="AW85" s="174">
        <f t="shared" si="52"/>
        <v>0</v>
      </c>
      <c r="AX85" s="175">
        <f t="shared" si="53"/>
        <v>0</v>
      </c>
      <c r="AY85" s="176">
        <f t="shared" si="16"/>
        <v>0</v>
      </c>
      <c r="AZ85" s="172">
        <f t="shared" si="54"/>
        <v>0</v>
      </c>
      <c r="BA85" s="173">
        <f t="shared" si="55"/>
        <v>0</v>
      </c>
    </row>
    <row r="86" ht="15.75" customHeight="1">
      <c r="Z86" s="5"/>
      <c r="AA86" s="75">
        <v>1773.0</v>
      </c>
      <c r="AB86" s="76" t="s">
        <v>24</v>
      </c>
      <c r="AC86" s="56">
        <f>IF('Ship Data Imperial'!E87&gt;0,'Ship Data Imperial'!E87,AS86)</f>
        <v>0</v>
      </c>
      <c r="AD86" s="77"/>
      <c r="AE86" s="77"/>
      <c r="AF86" s="171"/>
      <c r="AG86" s="172">
        <f>IF(AC86&gt;0,Masts!$C$13*0.9,0)</f>
        <v>0</v>
      </c>
      <c r="AH86" s="173">
        <f t="shared" si="39"/>
        <v>0</v>
      </c>
      <c r="AI86" s="174">
        <f t="shared" ref="AI86:AI97" si="56">IF(AC86&gt;0,$C$7*0.72,0)</f>
        <v>0</v>
      </c>
      <c r="AJ86" s="175">
        <f t="shared" si="46"/>
        <v>0</v>
      </c>
      <c r="AK86" s="176">
        <f t="shared" si="47"/>
        <v>0</v>
      </c>
      <c r="AL86" s="172">
        <f t="shared" si="48"/>
        <v>0</v>
      </c>
      <c r="AM86" s="173">
        <f t="shared" si="49"/>
        <v>0</v>
      </c>
      <c r="AN86" s="174">
        <f t="shared" ref="AN86:AN98" si="57">IF(AC86&gt;0,$AJ$136*0.666,0)</f>
        <v>0</v>
      </c>
      <c r="AO86" s="176">
        <f t="shared" ref="AO86:AO98" si="58">IF(AC86&gt;0,$AK$136*0.666,0)</f>
        <v>0</v>
      </c>
      <c r="AP86" s="175">
        <f t="shared" ref="AP86:AP98" si="59">IF(AC86&gt;0,$AM$136*0.666,0)</f>
        <v>0</v>
      </c>
      <c r="AQ86" s="172">
        <f t="shared" si="50"/>
        <v>0</v>
      </c>
      <c r="AR86" s="173">
        <f t="shared" si="51"/>
        <v>0</v>
      </c>
      <c r="AS86" s="56">
        <f>'Ship Data Metric'!E87*0.03280839895</f>
        <v>0</v>
      </c>
      <c r="AT86" s="75">
        <v>1773.0</v>
      </c>
      <c r="AU86" s="172">
        <f t="shared" si="12"/>
        <v>0</v>
      </c>
      <c r="AV86" s="173">
        <f t="shared" si="13"/>
        <v>0</v>
      </c>
      <c r="AW86" s="174">
        <f t="shared" si="52"/>
        <v>0</v>
      </c>
      <c r="AX86" s="175">
        <f t="shared" si="53"/>
        <v>0</v>
      </c>
      <c r="AY86" s="176">
        <f t="shared" si="16"/>
        <v>0</v>
      </c>
      <c r="AZ86" s="172">
        <f t="shared" si="54"/>
        <v>0</v>
      </c>
      <c r="BA86" s="173">
        <f t="shared" si="55"/>
        <v>0</v>
      </c>
    </row>
    <row r="87" ht="15.75" customHeight="1">
      <c r="Z87" s="5"/>
      <c r="AA87" s="75"/>
      <c r="AB87" s="76" t="s">
        <v>25</v>
      </c>
      <c r="AC87" s="56">
        <f>IF('Ship Data Imperial'!E88&gt;0,'Ship Data Imperial'!E88,AS87)</f>
        <v>0</v>
      </c>
      <c r="AD87" s="77"/>
      <c r="AE87" s="77"/>
      <c r="AF87" s="171"/>
      <c r="AG87" s="172">
        <f>IF(AC87&gt;0,Masts!$C$13*0.9,0)</f>
        <v>0</v>
      </c>
      <c r="AH87" s="173">
        <f t="shared" si="39"/>
        <v>0</v>
      </c>
      <c r="AI87" s="174">
        <f t="shared" si="56"/>
        <v>0</v>
      </c>
      <c r="AJ87" s="175">
        <f t="shared" si="46"/>
        <v>0</v>
      </c>
      <c r="AK87" s="176">
        <f t="shared" si="47"/>
        <v>0</v>
      </c>
      <c r="AL87" s="172">
        <f t="shared" si="48"/>
        <v>0</v>
      </c>
      <c r="AM87" s="173">
        <f t="shared" si="49"/>
        <v>0</v>
      </c>
      <c r="AN87" s="174">
        <f t="shared" si="57"/>
        <v>0</v>
      </c>
      <c r="AO87" s="176">
        <f t="shared" si="58"/>
        <v>0</v>
      </c>
      <c r="AP87" s="175">
        <f t="shared" si="59"/>
        <v>0</v>
      </c>
      <c r="AQ87" s="172">
        <f t="shared" si="50"/>
        <v>0</v>
      </c>
      <c r="AR87" s="173">
        <f t="shared" si="51"/>
        <v>0</v>
      </c>
      <c r="AS87" s="56">
        <f>'Ship Data Metric'!E88*0.03280839895</f>
        <v>0</v>
      </c>
      <c r="AT87" s="75"/>
      <c r="AU87" s="172">
        <f t="shared" si="12"/>
        <v>0</v>
      </c>
      <c r="AV87" s="173">
        <f t="shared" si="13"/>
        <v>0</v>
      </c>
      <c r="AW87" s="174">
        <f t="shared" si="52"/>
        <v>0</v>
      </c>
      <c r="AX87" s="175">
        <f t="shared" si="53"/>
        <v>0</v>
      </c>
      <c r="AY87" s="176">
        <f t="shared" si="16"/>
        <v>0</v>
      </c>
      <c r="AZ87" s="172">
        <f t="shared" si="54"/>
        <v>0</v>
      </c>
      <c r="BA87" s="173">
        <f t="shared" si="55"/>
        <v>0</v>
      </c>
    </row>
    <row r="88" ht="15.75" customHeight="1">
      <c r="Z88" s="5"/>
      <c r="AA88" s="75"/>
      <c r="AB88" s="76" t="s">
        <v>26</v>
      </c>
      <c r="AC88" s="56">
        <f>IF('Ship Data Imperial'!E89&gt;0,'Ship Data Imperial'!E89,AS88)</f>
        <v>0</v>
      </c>
      <c r="AD88" s="77"/>
      <c r="AE88" s="77"/>
      <c r="AF88" s="171"/>
      <c r="AG88" s="172">
        <f>IF(AC88&gt;0,Masts!$C$13*0.9,0)</f>
        <v>0</v>
      </c>
      <c r="AH88" s="173">
        <f t="shared" si="39"/>
        <v>0</v>
      </c>
      <c r="AI88" s="174">
        <f t="shared" si="56"/>
        <v>0</v>
      </c>
      <c r="AJ88" s="175">
        <f t="shared" si="46"/>
        <v>0</v>
      </c>
      <c r="AK88" s="176">
        <f t="shared" si="47"/>
        <v>0</v>
      </c>
      <c r="AL88" s="172">
        <f t="shared" si="48"/>
        <v>0</v>
      </c>
      <c r="AM88" s="173">
        <f t="shared" si="49"/>
        <v>0</v>
      </c>
      <c r="AN88" s="174">
        <f t="shared" si="57"/>
        <v>0</v>
      </c>
      <c r="AO88" s="176">
        <f t="shared" si="58"/>
        <v>0</v>
      </c>
      <c r="AP88" s="175">
        <f t="shared" si="59"/>
        <v>0</v>
      </c>
      <c r="AQ88" s="172">
        <f t="shared" si="50"/>
        <v>0</v>
      </c>
      <c r="AR88" s="173">
        <f t="shared" si="51"/>
        <v>0</v>
      </c>
      <c r="AS88" s="56">
        <f>'Ship Data Metric'!E89*0.03280839895</f>
        <v>0</v>
      </c>
      <c r="AT88" s="75"/>
      <c r="AU88" s="172">
        <f t="shared" si="12"/>
        <v>0</v>
      </c>
      <c r="AV88" s="173">
        <f t="shared" si="13"/>
        <v>0</v>
      </c>
      <c r="AW88" s="174">
        <f t="shared" si="52"/>
        <v>0</v>
      </c>
      <c r="AX88" s="175">
        <f t="shared" si="53"/>
        <v>0</v>
      </c>
      <c r="AY88" s="176">
        <f t="shared" si="16"/>
        <v>0</v>
      </c>
      <c r="AZ88" s="172">
        <f t="shared" si="54"/>
        <v>0</v>
      </c>
      <c r="BA88" s="173">
        <f t="shared" si="55"/>
        <v>0</v>
      </c>
    </row>
    <row r="89" ht="15.75" customHeight="1">
      <c r="Z89" s="5"/>
      <c r="AA89" s="75"/>
      <c r="AB89" s="76" t="s">
        <v>27</v>
      </c>
      <c r="AC89" s="56">
        <f>IF('Ship Data Imperial'!E90&gt;0,'Ship Data Imperial'!E90,AS89)</f>
        <v>0</v>
      </c>
      <c r="AD89" s="77"/>
      <c r="AE89" s="77"/>
      <c r="AF89" s="171"/>
      <c r="AG89" s="172">
        <f>IF(AC89&gt;0,Masts!$C$13*0.9,0)</f>
        <v>0</v>
      </c>
      <c r="AH89" s="173">
        <f t="shared" si="39"/>
        <v>0</v>
      </c>
      <c r="AI89" s="174">
        <f t="shared" si="56"/>
        <v>0</v>
      </c>
      <c r="AJ89" s="175">
        <f t="shared" si="46"/>
        <v>0</v>
      </c>
      <c r="AK89" s="176">
        <f t="shared" si="47"/>
        <v>0</v>
      </c>
      <c r="AL89" s="172">
        <f t="shared" si="48"/>
        <v>0</v>
      </c>
      <c r="AM89" s="173">
        <f t="shared" si="49"/>
        <v>0</v>
      </c>
      <c r="AN89" s="174">
        <f t="shared" si="57"/>
        <v>0</v>
      </c>
      <c r="AO89" s="176">
        <f t="shared" si="58"/>
        <v>0</v>
      </c>
      <c r="AP89" s="175">
        <f t="shared" si="59"/>
        <v>0</v>
      </c>
      <c r="AQ89" s="172">
        <f t="shared" si="50"/>
        <v>0</v>
      </c>
      <c r="AR89" s="173">
        <f t="shared" si="51"/>
        <v>0</v>
      </c>
      <c r="AS89" s="56">
        <f>'Ship Data Metric'!E90*0.03280839895</f>
        <v>0</v>
      </c>
      <c r="AT89" s="75"/>
      <c r="AU89" s="172">
        <f t="shared" si="12"/>
        <v>0</v>
      </c>
      <c r="AV89" s="173">
        <f t="shared" si="13"/>
        <v>0</v>
      </c>
      <c r="AW89" s="174">
        <f t="shared" si="52"/>
        <v>0</v>
      </c>
      <c r="AX89" s="175">
        <f t="shared" si="53"/>
        <v>0</v>
      </c>
      <c r="AY89" s="176">
        <f t="shared" si="16"/>
        <v>0</v>
      </c>
      <c r="AZ89" s="172">
        <f t="shared" si="54"/>
        <v>0</v>
      </c>
      <c r="BA89" s="173">
        <f t="shared" si="55"/>
        <v>0</v>
      </c>
    </row>
    <row r="90" ht="15.75" customHeight="1">
      <c r="Z90" s="5"/>
      <c r="AA90" s="75"/>
      <c r="AB90" s="76" t="s">
        <v>28</v>
      </c>
      <c r="AC90" s="56">
        <f>IF('Ship Data Imperial'!E91&gt;0,'Ship Data Imperial'!E91,AS90)</f>
        <v>0</v>
      </c>
      <c r="AD90" s="77"/>
      <c r="AE90" s="77"/>
      <c r="AF90" s="171"/>
      <c r="AG90" s="172">
        <f>IF(AC90&gt;0,Masts!$C$13*0.9,0)</f>
        <v>0</v>
      </c>
      <c r="AH90" s="173">
        <f t="shared" si="39"/>
        <v>0</v>
      </c>
      <c r="AI90" s="174">
        <f t="shared" si="56"/>
        <v>0</v>
      </c>
      <c r="AJ90" s="175">
        <f t="shared" si="46"/>
        <v>0</v>
      </c>
      <c r="AK90" s="176">
        <f t="shared" si="47"/>
        <v>0</v>
      </c>
      <c r="AL90" s="172">
        <f t="shared" si="48"/>
        <v>0</v>
      </c>
      <c r="AM90" s="173">
        <f t="shared" si="49"/>
        <v>0</v>
      </c>
      <c r="AN90" s="174">
        <f t="shared" si="57"/>
        <v>0</v>
      </c>
      <c r="AO90" s="176">
        <f t="shared" si="58"/>
        <v>0</v>
      </c>
      <c r="AP90" s="175">
        <f t="shared" si="59"/>
        <v>0</v>
      </c>
      <c r="AQ90" s="172">
        <f t="shared" si="50"/>
        <v>0</v>
      </c>
      <c r="AR90" s="173">
        <f t="shared" si="51"/>
        <v>0</v>
      </c>
      <c r="AS90" s="56">
        <f>'Ship Data Metric'!E91*0.03280839895</f>
        <v>0</v>
      </c>
      <c r="AT90" s="75"/>
      <c r="AU90" s="172">
        <f t="shared" si="12"/>
        <v>0</v>
      </c>
      <c r="AV90" s="173">
        <f t="shared" si="13"/>
        <v>0</v>
      </c>
      <c r="AW90" s="174">
        <f t="shared" si="52"/>
        <v>0</v>
      </c>
      <c r="AX90" s="175">
        <f t="shared" si="53"/>
        <v>0</v>
      </c>
      <c r="AY90" s="176">
        <f t="shared" si="16"/>
        <v>0</v>
      </c>
      <c r="AZ90" s="172">
        <f t="shared" si="54"/>
        <v>0</v>
      </c>
      <c r="BA90" s="173">
        <f t="shared" si="55"/>
        <v>0</v>
      </c>
    </row>
    <row r="91" ht="15.75" customHeight="1">
      <c r="Z91" s="5"/>
      <c r="AA91" s="75"/>
      <c r="AB91" s="76" t="s">
        <v>29</v>
      </c>
      <c r="AC91" s="56">
        <f>IF('Ship Data Imperial'!E92&gt;0,'Ship Data Imperial'!E92,AS91)</f>
        <v>0</v>
      </c>
      <c r="AD91" s="77"/>
      <c r="AE91" s="77"/>
      <c r="AF91" s="171"/>
      <c r="AG91" s="172">
        <f>IF(AC91&gt;0,Masts!$C$13*0.9,0)</f>
        <v>0</v>
      </c>
      <c r="AH91" s="173">
        <f t="shared" si="39"/>
        <v>0</v>
      </c>
      <c r="AI91" s="174">
        <f t="shared" si="56"/>
        <v>0</v>
      </c>
      <c r="AJ91" s="175">
        <f t="shared" si="46"/>
        <v>0</v>
      </c>
      <c r="AK91" s="176">
        <f t="shared" si="47"/>
        <v>0</v>
      </c>
      <c r="AL91" s="172">
        <f t="shared" si="48"/>
        <v>0</v>
      </c>
      <c r="AM91" s="173">
        <f t="shared" si="49"/>
        <v>0</v>
      </c>
      <c r="AN91" s="174">
        <f t="shared" si="57"/>
        <v>0</v>
      </c>
      <c r="AO91" s="176">
        <f t="shared" si="58"/>
        <v>0</v>
      </c>
      <c r="AP91" s="175">
        <f t="shared" si="59"/>
        <v>0</v>
      </c>
      <c r="AQ91" s="172">
        <f t="shared" si="50"/>
        <v>0</v>
      </c>
      <c r="AR91" s="173">
        <f t="shared" si="51"/>
        <v>0</v>
      </c>
      <c r="AS91" s="56">
        <f>'Ship Data Metric'!E92*0.03280839895</f>
        <v>0</v>
      </c>
      <c r="AT91" s="75"/>
      <c r="AU91" s="172">
        <f t="shared" si="12"/>
        <v>0</v>
      </c>
      <c r="AV91" s="173">
        <f t="shared" si="13"/>
        <v>0</v>
      </c>
      <c r="AW91" s="174">
        <f t="shared" si="52"/>
        <v>0</v>
      </c>
      <c r="AX91" s="175">
        <f t="shared" si="53"/>
        <v>0</v>
      </c>
      <c r="AY91" s="176">
        <f t="shared" si="16"/>
        <v>0</v>
      </c>
      <c r="AZ91" s="172">
        <f t="shared" si="54"/>
        <v>0</v>
      </c>
      <c r="BA91" s="173">
        <f t="shared" si="55"/>
        <v>0</v>
      </c>
    </row>
    <row r="92" ht="15.75" customHeight="1">
      <c r="Z92" s="5"/>
      <c r="AA92" s="75" t="s">
        <v>49</v>
      </c>
      <c r="AB92" s="76" t="s">
        <v>24</v>
      </c>
      <c r="AC92" s="56">
        <f>IF('Ship Data Imperial'!E93&gt;0,'Ship Data Imperial'!E93,AS92)</f>
        <v>0</v>
      </c>
      <c r="AD92" s="77"/>
      <c r="AE92" s="77"/>
      <c r="AF92" s="171" t="str">
        <f>'Ship Data Imperial'!I93</f>
        <v/>
      </c>
      <c r="AG92" s="172">
        <f>IF(AC92&gt;0,Masts!$C$13*0.9,0)</f>
        <v>0</v>
      </c>
      <c r="AH92" s="173">
        <f t="shared" si="39"/>
        <v>0</v>
      </c>
      <c r="AI92" s="174">
        <f t="shared" si="56"/>
        <v>0</v>
      </c>
      <c r="AJ92" s="175">
        <f t="shared" si="46"/>
        <v>0</v>
      </c>
      <c r="AK92" s="176">
        <f t="shared" si="47"/>
        <v>0</v>
      </c>
      <c r="AL92" s="172">
        <f t="shared" si="48"/>
        <v>0</v>
      </c>
      <c r="AM92" s="173">
        <f t="shared" si="49"/>
        <v>0</v>
      </c>
      <c r="AN92" s="174">
        <f t="shared" si="57"/>
        <v>0</v>
      </c>
      <c r="AO92" s="176">
        <f t="shared" si="58"/>
        <v>0</v>
      </c>
      <c r="AP92" s="175">
        <f t="shared" si="59"/>
        <v>0</v>
      </c>
      <c r="AQ92" s="172">
        <f t="shared" si="50"/>
        <v>0</v>
      </c>
      <c r="AR92" s="173">
        <f t="shared" si="51"/>
        <v>0</v>
      </c>
      <c r="AS92" s="56">
        <f>'Ship Data Metric'!E93*0.03280839895</f>
        <v>0</v>
      </c>
      <c r="AT92" s="75" t="s">
        <v>49</v>
      </c>
      <c r="AU92" s="172">
        <f t="shared" si="12"/>
        <v>0</v>
      </c>
      <c r="AV92" s="173">
        <f t="shared" si="13"/>
        <v>0</v>
      </c>
      <c r="AW92" s="174">
        <f t="shared" si="52"/>
        <v>0</v>
      </c>
      <c r="AX92" s="175">
        <f t="shared" si="53"/>
        <v>0</v>
      </c>
      <c r="AY92" s="176">
        <f t="shared" si="16"/>
        <v>0</v>
      </c>
      <c r="AZ92" s="172">
        <f t="shared" si="54"/>
        <v>0</v>
      </c>
      <c r="BA92" s="173">
        <f t="shared" si="55"/>
        <v>0</v>
      </c>
    </row>
    <row r="93" ht="15.75" customHeight="1">
      <c r="Z93" s="5"/>
      <c r="AA93" s="75"/>
      <c r="AB93" s="76" t="s">
        <v>25</v>
      </c>
      <c r="AC93" s="56">
        <f>IF('Ship Data Imperial'!E94&gt;0,'Ship Data Imperial'!E94,AS93)</f>
        <v>0</v>
      </c>
      <c r="AD93" s="77"/>
      <c r="AE93" s="77"/>
      <c r="AF93" s="171" t="str">
        <f>'Ship Data Imperial'!I94</f>
        <v/>
      </c>
      <c r="AG93" s="172">
        <f>IF(AC93&gt;0,Masts!$C$13*0.9,0)</f>
        <v>0</v>
      </c>
      <c r="AH93" s="173">
        <f t="shared" si="39"/>
        <v>0</v>
      </c>
      <c r="AI93" s="174">
        <f t="shared" si="56"/>
        <v>0</v>
      </c>
      <c r="AJ93" s="175">
        <f t="shared" si="46"/>
        <v>0</v>
      </c>
      <c r="AK93" s="176">
        <f t="shared" si="47"/>
        <v>0</v>
      </c>
      <c r="AL93" s="172">
        <f t="shared" si="48"/>
        <v>0</v>
      </c>
      <c r="AM93" s="173">
        <f t="shared" si="49"/>
        <v>0</v>
      </c>
      <c r="AN93" s="174">
        <f t="shared" si="57"/>
        <v>0</v>
      </c>
      <c r="AO93" s="176">
        <f t="shared" si="58"/>
        <v>0</v>
      </c>
      <c r="AP93" s="175">
        <f t="shared" si="59"/>
        <v>0</v>
      </c>
      <c r="AQ93" s="172">
        <f t="shared" si="50"/>
        <v>0</v>
      </c>
      <c r="AR93" s="173">
        <f t="shared" si="51"/>
        <v>0</v>
      </c>
      <c r="AS93" s="56">
        <f>'Ship Data Metric'!E94*0.03280839895</f>
        <v>0</v>
      </c>
      <c r="AT93" s="75"/>
      <c r="AU93" s="172">
        <f t="shared" si="12"/>
        <v>0</v>
      </c>
      <c r="AV93" s="173">
        <f t="shared" si="13"/>
        <v>0</v>
      </c>
      <c r="AW93" s="174">
        <f t="shared" si="52"/>
        <v>0</v>
      </c>
      <c r="AX93" s="175">
        <f t="shared" si="53"/>
        <v>0</v>
      </c>
      <c r="AY93" s="176">
        <f t="shared" si="16"/>
        <v>0</v>
      </c>
      <c r="AZ93" s="172">
        <f t="shared" si="54"/>
        <v>0</v>
      </c>
      <c r="BA93" s="173">
        <f t="shared" si="55"/>
        <v>0</v>
      </c>
    </row>
    <row r="94" ht="15.75" customHeight="1">
      <c r="Z94" s="5"/>
      <c r="AA94" s="75"/>
      <c r="AB94" s="76" t="s">
        <v>26</v>
      </c>
      <c r="AC94" s="56">
        <f>IF('Ship Data Imperial'!E95&gt;0,'Ship Data Imperial'!E95,AS94)</f>
        <v>0</v>
      </c>
      <c r="AD94" s="77"/>
      <c r="AE94" s="77"/>
      <c r="AF94" s="171" t="str">
        <f>'Ship Data Imperial'!I95</f>
        <v/>
      </c>
      <c r="AG94" s="172">
        <f>IF(AC94&gt;0,Masts!$C$13*0.9,0)</f>
        <v>0</v>
      </c>
      <c r="AH94" s="173">
        <f t="shared" si="39"/>
        <v>0</v>
      </c>
      <c r="AI94" s="174">
        <f t="shared" si="56"/>
        <v>0</v>
      </c>
      <c r="AJ94" s="175">
        <f t="shared" si="46"/>
        <v>0</v>
      </c>
      <c r="AK94" s="176">
        <f t="shared" si="47"/>
        <v>0</v>
      </c>
      <c r="AL94" s="172">
        <f t="shared" si="48"/>
        <v>0</v>
      </c>
      <c r="AM94" s="173">
        <f t="shared" si="49"/>
        <v>0</v>
      </c>
      <c r="AN94" s="174">
        <f t="shared" si="57"/>
        <v>0</v>
      </c>
      <c r="AO94" s="176">
        <f t="shared" si="58"/>
        <v>0</v>
      </c>
      <c r="AP94" s="175">
        <f t="shared" si="59"/>
        <v>0</v>
      </c>
      <c r="AQ94" s="172">
        <f t="shared" si="50"/>
        <v>0</v>
      </c>
      <c r="AR94" s="173">
        <f t="shared" si="51"/>
        <v>0</v>
      </c>
      <c r="AS94" s="56">
        <f>'Ship Data Metric'!E95*0.03280839895</f>
        <v>0</v>
      </c>
      <c r="AT94" s="75"/>
      <c r="AU94" s="172">
        <f t="shared" si="12"/>
        <v>0</v>
      </c>
      <c r="AV94" s="173">
        <f t="shared" si="13"/>
        <v>0</v>
      </c>
      <c r="AW94" s="174">
        <f t="shared" si="52"/>
        <v>0</v>
      </c>
      <c r="AX94" s="175">
        <f t="shared" si="53"/>
        <v>0</v>
      </c>
      <c r="AY94" s="176">
        <f t="shared" si="16"/>
        <v>0</v>
      </c>
      <c r="AZ94" s="172">
        <f t="shared" si="54"/>
        <v>0</v>
      </c>
      <c r="BA94" s="173">
        <f t="shared" si="55"/>
        <v>0</v>
      </c>
    </row>
    <row r="95" ht="15.75" customHeight="1">
      <c r="Z95" s="5"/>
      <c r="AA95" s="75"/>
      <c r="AB95" s="76" t="s">
        <v>27</v>
      </c>
      <c r="AC95" s="56">
        <f>IF('Ship Data Imperial'!E96&gt;0,'Ship Data Imperial'!E96,AS95)</f>
        <v>0</v>
      </c>
      <c r="AD95" s="77"/>
      <c r="AE95" s="77"/>
      <c r="AF95" s="171" t="str">
        <f>'Ship Data Imperial'!I96</f>
        <v/>
      </c>
      <c r="AG95" s="172">
        <f>IF(AC95&gt;0,Masts!$C$13*0.9,0)</f>
        <v>0</v>
      </c>
      <c r="AH95" s="173">
        <f t="shared" si="39"/>
        <v>0</v>
      </c>
      <c r="AI95" s="174">
        <f t="shared" si="56"/>
        <v>0</v>
      </c>
      <c r="AJ95" s="175">
        <f t="shared" si="46"/>
        <v>0</v>
      </c>
      <c r="AK95" s="176">
        <f t="shared" si="47"/>
        <v>0</v>
      </c>
      <c r="AL95" s="172">
        <f t="shared" si="48"/>
        <v>0</v>
      </c>
      <c r="AM95" s="173">
        <f t="shared" si="49"/>
        <v>0</v>
      </c>
      <c r="AN95" s="174">
        <f t="shared" si="57"/>
        <v>0</v>
      </c>
      <c r="AO95" s="176">
        <f t="shared" si="58"/>
        <v>0</v>
      </c>
      <c r="AP95" s="175">
        <f t="shared" si="59"/>
        <v>0</v>
      </c>
      <c r="AQ95" s="172">
        <f t="shared" si="50"/>
        <v>0</v>
      </c>
      <c r="AR95" s="173">
        <f t="shared" si="51"/>
        <v>0</v>
      </c>
      <c r="AS95" s="56">
        <f>'Ship Data Metric'!E96*0.03280839895</f>
        <v>0</v>
      </c>
      <c r="AT95" s="75"/>
      <c r="AU95" s="172">
        <f t="shared" si="12"/>
        <v>0</v>
      </c>
      <c r="AV95" s="173">
        <f t="shared" si="13"/>
        <v>0</v>
      </c>
      <c r="AW95" s="174">
        <f t="shared" si="52"/>
        <v>0</v>
      </c>
      <c r="AX95" s="175">
        <f t="shared" si="53"/>
        <v>0</v>
      </c>
      <c r="AY95" s="176">
        <f t="shared" si="16"/>
        <v>0</v>
      </c>
      <c r="AZ95" s="172">
        <f t="shared" si="54"/>
        <v>0</v>
      </c>
      <c r="BA95" s="173">
        <f t="shared" si="55"/>
        <v>0</v>
      </c>
    </row>
    <row r="96" ht="15.75" customHeight="1">
      <c r="Z96" s="5"/>
      <c r="AA96" s="75"/>
      <c r="AB96" s="76" t="s">
        <v>28</v>
      </c>
      <c r="AC96" s="56">
        <f>IF('Ship Data Imperial'!E97&gt;0,'Ship Data Imperial'!E97,AS96)</f>
        <v>0</v>
      </c>
      <c r="AD96" s="77"/>
      <c r="AE96" s="77"/>
      <c r="AF96" s="171" t="str">
        <f>'Ship Data Imperial'!I97</f>
        <v/>
      </c>
      <c r="AG96" s="172">
        <f>IF(AC96&gt;0,Masts!$C$13*0.9,0)</f>
        <v>0</v>
      </c>
      <c r="AH96" s="173">
        <f t="shared" si="39"/>
        <v>0</v>
      </c>
      <c r="AI96" s="174">
        <f t="shared" si="56"/>
        <v>0</v>
      </c>
      <c r="AJ96" s="175">
        <f t="shared" si="46"/>
        <v>0</v>
      </c>
      <c r="AK96" s="176">
        <f t="shared" si="47"/>
        <v>0</v>
      </c>
      <c r="AL96" s="172">
        <f t="shared" si="48"/>
        <v>0</v>
      </c>
      <c r="AM96" s="173">
        <f t="shared" si="49"/>
        <v>0</v>
      </c>
      <c r="AN96" s="174">
        <f t="shared" si="57"/>
        <v>0</v>
      </c>
      <c r="AO96" s="176">
        <f t="shared" si="58"/>
        <v>0</v>
      </c>
      <c r="AP96" s="175">
        <f t="shared" si="59"/>
        <v>0</v>
      </c>
      <c r="AQ96" s="172">
        <f t="shared" si="50"/>
        <v>0</v>
      </c>
      <c r="AR96" s="173">
        <f t="shared" si="51"/>
        <v>0</v>
      </c>
      <c r="AS96" s="56">
        <f>'Ship Data Metric'!E97*0.03280839895</f>
        <v>0</v>
      </c>
      <c r="AT96" s="75"/>
      <c r="AU96" s="172">
        <f t="shared" si="12"/>
        <v>0</v>
      </c>
      <c r="AV96" s="173">
        <f t="shared" si="13"/>
        <v>0</v>
      </c>
      <c r="AW96" s="174">
        <f t="shared" si="52"/>
        <v>0</v>
      </c>
      <c r="AX96" s="175">
        <f t="shared" si="53"/>
        <v>0</v>
      </c>
      <c r="AY96" s="176">
        <f t="shared" si="16"/>
        <v>0</v>
      </c>
      <c r="AZ96" s="172">
        <f t="shared" si="54"/>
        <v>0</v>
      </c>
      <c r="BA96" s="173">
        <f t="shared" si="55"/>
        <v>0</v>
      </c>
    </row>
    <row r="97" ht="15.75" customHeight="1">
      <c r="Z97" s="5"/>
      <c r="AA97" s="75"/>
      <c r="AB97" s="76" t="s">
        <v>29</v>
      </c>
      <c r="AC97" s="56">
        <f>IF('Ship Data Imperial'!E98&gt;0,'Ship Data Imperial'!E98,AS97)</f>
        <v>0</v>
      </c>
      <c r="AD97" s="77"/>
      <c r="AE97" s="77"/>
      <c r="AF97" s="171" t="str">
        <f>'Ship Data Imperial'!I98</f>
        <v/>
      </c>
      <c r="AG97" s="172">
        <f>IF(AC97&gt;0,Masts!$C$13*0.9,0)</f>
        <v>0</v>
      </c>
      <c r="AH97" s="173">
        <f t="shared" si="39"/>
        <v>0</v>
      </c>
      <c r="AI97" s="174">
        <f t="shared" si="56"/>
        <v>0</v>
      </c>
      <c r="AJ97" s="175">
        <f t="shared" si="46"/>
        <v>0</v>
      </c>
      <c r="AK97" s="176">
        <f t="shared" si="47"/>
        <v>0</v>
      </c>
      <c r="AL97" s="172">
        <f t="shared" si="48"/>
        <v>0</v>
      </c>
      <c r="AM97" s="173">
        <f t="shared" si="49"/>
        <v>0</v>
      </c>
      <c r="AN97" s="174">
        <f t="shared" si="57"/>
        <v>0</v>
      </c>
      <c r="AO97" s="176">
        <f t="shared" si="58"/>
        <v>0</v>
      </c>
      <c r="AP97" s="175">
        <f t="shared" si="59"/>
        <v>0</v>
      </c>
      <c r="AQ97" s="172">
        <f t="shared" si="50"/>
        <v>0</v>
      </c>
      <c r="AR97" s="173">
        <f t="shared" si="51"/>
        <v>0</v>
      </c>
      <c r="AS97" s="56">
        <f>'Ship Data Metric'!E98*0.03280839895</f>
        <v>0</v>
      </c>
      <c r="AT97" s="75"/>
      <c r="AU97" s="172">
        <f t="shared" si="12"/>
        <v>0</v>
      </c>
      <c r="AV97" s="173">
        <f t="shared" si="13"/>
        <v>0</v>
      </c>
      <c r="AW97" s="174">
        <f t="shared" si="52"/>
        <v>0</v>
      </c>
      <c r="AX97" s="175">
        <f t="shared" si="53"/>
        <v>0</v>
      </c>
      <c r="AY97" s="176">
        <f t="shared" si="16"/>
        <v>0</v>
      </c>
      <c r="AZ97" s="172">
        <f t="shared" si="54"/>
        <v>0</v>
      </c>
      <c r="BA97" s="173">
        <f t="shared" si="55"/>
        <v>0</v>
      </c>
    </row>
    <row r="98" ht="15.75" customHeight="1">
      <c r="Z98" s="5"/>
      <c r="AA98" s="75" t="s">
        <v>50</v>
      </c>
      <c r="AB98" s="158" t="s">
        <v>24</v>
      </c>
      <c r="AC98" s="56">
        <f>IF('Ship Data Imperial'!E99&gt;0,'Ship Data Imperial'!E99,AS98)</f>
        <v>0</v>
      </c>
      <c r="AD98" s="77"/>
      <c r="AE98" s="77"/>
      <c r="AF98" s="171" t="str">
        <f>'Ship Data Imperial'!I99</f>
        <v/>
      </c>
      <c r="AG98" s="172">
        <f>IF(AC98&gt;0,Masts!$C$13*0.8888,0)</f>
        <v>0</v>
      </c>
      <c r="AH98" s="173">
        <f t="shared" si="39"/>
        <v>0</v>
      </c>
      <c r="AI98" s="174">
        <f t="shared" ref="AI98:AI135" si="60">IF(AC98&gt;0,$C$7*0.714,0)</f>
        <v>0</v>
      </c>
      <c r="AJ98" s="175">
        <f t="shared" ref="AJ98:AJ135" si="61">IF(AC98&gt;0,$AG$136*0.714,0)</f>
        <v>0</v>
      </c>
      <c r="AK98" s="176">
        <f t="shared" ref="AK98:AK135" si="62">IF(AC98&gt;0,$AG$136*0.875,0)</f>
        <v>0</v>
      </c>
      <c r="AL98" s="172">
        <f t="shared" si="48"/>
        <v>0</v>
      </c>
      <c r="AM98" s="173">
        <f>IF(AC98&gt;0,$AJ$136*0.666,0)</f>
        <v>0</v>
      </c>
      <c r="AN98" s="174">
        <f t="shared" si="57"/>
        <v>0</v>
      </c>
      <c r="AO98" s="176">
        <f t="shared" si="58"/>
        <v>0</v>
      </c>
      <c r="AP98" s="175">
        <f t="shared" si="59"/>
        <v>0</v>
      </c>
      <c r="AQ98" s="172">
        <f t="shared" si="50"/>
        <v>0</v>
      </c>
      <c r="AR98" s="173">
        <f t="shared" ref="AR98:AR135" si="63">IF(AC98&gt;0,$AO$136,0)</f>
        <v>0</v>
      </c>
      <c r="AS98" s="56">
        <f>'Ship Data Metric'!E99*0.03280839895</f>
        <v>0</v>
      </c>
      <c r="AT98" s="75" t="s">
        <v>50</v>
      </c>
      <c r="AU98" s="172">
        <f t="shared" ref="AU98:AU135" si="64">IF(AC98&gt;0,($AG$136/3)*0.7,0)</f>
        <v>0</v>
      </c>
      <c r="AV98" s="173">
        <f t="shared" ref="AV98:AV135" si="65">IF(AC98&gt;0,($AH$136/3)*0.7,0)</f>
        <v>0</v>
      </c>
      <c r="AW98" s="174">
        <f t="shared" si="52"/>
        <v>0</v>
      </c>
      <c r="AX98" s="175">
        <f t="shared" si="53"/>
        <v>0</v>
      </c>
      <c r="AY98" s="176">
        <f t="shared" ref="AY98:AY135" si="66">IF(AC98&gt;0,($AI$136/3)*0.625,0)</f>
        <v>0</v>
      </c>
      <c r="AZ98" s="172">
        <f t="shared" si="54"/>
        <v>0</v>
      </c>
      <c r="BA98" s="173">
        <f t="shared" si="55"/>
        <v>0</v>
      </c>
    </row>
    <row r="99" ht="15.75" customHeight="1">
      <c r="Z99" s="5"/>
      <c r="AA99" s="75"/>
      <c r="AB99" s="158" t="s">
        <v>25</v>
      </c>
      <c r="AC99" s="56">
        <f>IF('Ship Data Imperial'!E100&gt;0,'Ship Data Imperial'!E100,AS99)</f>
        <v>0</v>
      </c>
      <c r="AD99" s="77"/>
      <c r="AE99" s="77"/>
      <c r="AF99" s="171" t="str">
        <f>'Ship Data Imperial'!I100</f>
        <v/>
      </c>
      <c r="AG99" s="172">
        <f>IF(AC99&gt;0,Masts!$C$13*0.8888,0)</f>
        <v>0</v>
      </c>
      <c r="AH99" s="173">
        <f t="shared" si="39"/>
        <v>0</v>
      </c>
      <c r="AI99" s="174">
        <f t="shared" si="60"/>
        <v>0</v>
      </c>
      <c r="AJ99" s="175">
        <f t="shared" si="61"/>
        <v>0</v>
      </c>
      <c r="AK99" s="176">
        <f t="shared" si="62"/>
        <v>0</v>
      </c>
      <c r="AL99" s="172">
        <f t="shared" si="48"/>
        <v>0</v>
      </c>
      <c r="AM99" s="169"/>
      <c r="AN99" s="174">
        <f t="shared" ref="AN99:AN105" si="67">IF(AC99&gt;0,$AJ$136*0.6,0)</f>
        <v>0</v>
      </c>
      <c r="AO99" s="176">
        <f t="shared" ref="AO99:AO105" si="68">IF(AC99&gt;0,$AK$136*0.6,0)</f>
        <v>0</v>
      </c>
      <c r="AP99" s="175">
        <f t="shared" ref="AP99:AP105" si="69">IF(AC99&gt;0,$AM$136*0.6,0)</f>
        <v>0</v>
      </c>
      <c r="AQ99" s="172">
        <f t="shared" si="50"/>
        <v>0</v>
      </c>
      <c r="AR99" s="173">
        <f t="shared" si="63"/>
        <v>0</v>
      </c>
      <c r="AS99" s="56">
        <f>'Ship Data Metric'!E100*0.03280839895</f>
        <v>0</v>
      </c>
      <c r="AT99" s="75"/>
      <c r="AU99" s="172">
        <f t="shared" si="64"/>
        <v>0</v>
      </c>
      <c r="AV99" s="173">
        <f t="shared" si="65"/>
        <v>0</v>
      </c>
      <c r="AW99" s="174">
        <f t="shared" si="52"/>
        <v>0</v>
      </c>
      <c r="AX99" s="175">
        <f t="shared" si="53"/>
        <v>0</v>
      </c>
      <c r="AY99" s="176">
        <f t="shared" si="66"/>
        <v>0</v>
      </c>
      <c r="AZ99" s="172">
        <f t="shared" si="54"/>
        <v>0</v>
      </c>
      <c r="BA99" s="173">
        <f t="shared" si="55"/>
        <v>0</v>
      </c>
    </row>
    <row r="100" ht="15.75" customHeight="1">
      <c r="Z100" s="5"/>
      <c r="AA100" s="75"/>
      <c r="AB100" s="158" t="s">
        <v>40</v>
      </c>
      <c r="AC100" s="56">
        <f>IF('Ship Data Imperial'!E101&gt;0,'Ship Data Imperial'!E101,AS100)</f>
        <v>0</v>
      </c>
      <c r="AD100" s="77"/>
      <c r="AE100" s="77"/>
      <c r="AF100" s="171" t="str">
        <f>'Ship Data Imperial'!I101</f>
        <v/>
      </c>
      <c r="AG100" s="172">
        <f>IF(AC100&gt;0,Masts!$C$13*0.8888,0)</f>
        <v>0</v>
      </c>
      <c r="AH100" s="173">
        <f t="shared" si="39"/>
        <v>0</v>
      </c>
      <c r="AI100" s="174">
        <f t="shared" si="60"/>
        <v>0</v>
      </c>
      <c r="AJ100" s="175">
        <f t="shared" si="61"/>
        <v>0</v>
      </c>
      <c r="AK100" s="176">
        <f t="shared" si="62"/>
        <v>0</v>
      </c>
      <c r="AL100" s="172">
        <f t="shared" si="48"/>
        <v>0</v>
      </c>
      <c r="AM100" s="169"/>
      <c r="AN100" s="174">
        <f t="shared" si="67"/>
        <v>0</v>
      </c>
      <c r="AO100" s="176">
        <f t="shared" si="68"/>
        <v>0</v>
      </c>
      <c r="AP100" s="175">
        <f t="shared" si="69"/>
        <v>0</v>
      </c>
      <c r="AQ100" s="172">
        <f t="shared" si="50"/>
        <v>0</v>
      </c>
      <c r="AR100" s="173">
        <f t="shared" si="63"/>
        <v>0</v>
      </c>
      <c r="AS100" s="56">
        <f>'Ship Data Metric'!E101*0.03280839895</f>
        <v>0</v>
      </c>
      <c r="AT100" s="75"/>
      <c r="AU100" s="172">
        <f t="shared" si="64"/>
        <v>0</v>
      </c>
      <c r="AV100" s="173">
        <f t="shared" si="65"/>
        <v>0</v>
      </c>
      <c r="AW100" s="174">
        <f t="shared" si="52"/>
        <v>0</v>
      </c>
      <c r="AX100" s="175">
        <f t="shared" si="53"/>
        <v>0</v>
      </c>
      <c r="AY100" s="176">
        <f t="shared" si="66"/>
        <v>0</v>
      </c>
      <c r="AZ100" s="172">
        <f t="shared" si="54"/>
        <v>0</v>
      </c>
      <c r="BA100" s="173">
        <f t="shared" si="55"/>
        <v>0</v>
      </c>
    </row>
    <row r="101" ht="15.75" customHeight="1">
      <c r="Z101" s="5"/>
      <c r="AA101" s="75"/>
      <c r="AB101" s="158" t="s">
        <v>41</v>
      </c>
      <c r="AC101" s="56">
        <f>IF('Ship Data Imperial'!E102&gt;0,'Ship Data Imperial'!E102,AS101)</f>
        <v>0</v>
      </c>
      <c r="AD101" s="77"/>
      <c r="AE101" s="77"/>
      <c r="AF101" s="171" t="str">
        <f>'Ship Data Imperial'!I102</f>
        <v/>
      </c>
      <c r="AG101" s="172">
        <f>IF(AC101&gt;0,Masts!$C$13*0.8888,0)</f>
        <v>0</v>
      </c>
      <c r="AH101" s="173">
        <f t="shared" si="39"/>
        <v>0</v>
      </c>
      <c r="AI101" s="174">
        <f t="shared" si="60"/>
        <v>0</v>
      </c>
      <c r="AJ101" s="175">
        <f t="shared" si="61"/>
        <v>0</v>
      </c>
      <c r="AK101" s="176">
        <f t="shared" si="62"/>
        <v>0</v>
      </c>
      <c r="AL101" s="172">
        <f t="shared" si="48"/>
        <v>0</v>
      </c>
      <c r="AM101" s="169"/>
      <c r="AN101" s="174">
        <f t="shared" si="67"/>
        <v>0</v>
      </c>
      <c r="AO101" s="176">
        <f t="shared" si="68"/>
        <v>0</v>
      </c>
      <c r="AP101" s="175">
        <f t="shared" si="69"/>
        <v>0</v>
      </c>
      <c r="AQ101" s="172">
        <f t="shared" si="50"/>
        <v>0</v>
      </c>
      <c r="AR101" s="173">
        <f t="shared" si="63"/>
        <v>0</v>
      </c>
      <c r="AS101" s="56">
        <f>'Ship Data Metric'!E102*0.03280839895</f>
        <v>0</v>
      </c>
      <c r="AT101" s="75"/>
      <c r="AU101" s="172">
        <f t="shared" si="64"/>
        <v>0</v>
      </c>
      <c r="AV101" s="173">
        <f t="shared" si="65"/>
        <v>0</v>
      </c>
      <c r="AW101" s="174">
        <f t="shared" si="52"/>
        <v>0</v>
      </c>
      <c r="AX101" s="175">
        <f t="shared" si="53"/>
        <v>0</v>
      </c>
      <c r="AY101" s="176">
        <f t="shared" si="66"/>
        <v>0</v>
      </c>
      <c r="AZ101" s="172">
        <f t="shared" si="54"/>
        <v>0</v>
      </c>
      <c r="BA101" s="173">
        <f t="shared" si="55"/>
        <v>0</v>
      </c>
    </row>
    <row r="102" ht="15.75" customHeight="1">
      <c r="Z102" s="5"/>
      <c r="AA102" s="75"/>
      <c r="AB102" s="76" t="s">
        <v>27</v>
      </c>
      <c r="AC102" s="56">
        <f>IF('Ship Data Imperial'!E103&gt;0,'Ship Data Imperial'!E103,AS102)</f>
        <v>0</v>
      </c>
      <c r="AD102" s="77"/>
      <c r="AE102" s="77"/>
      <c r="AF102" s="171" t="str">
        <f>'Ship Data Imperial'!I103</f>
        <v/>
      </c>
      <c r="AG102" s="172">
        <f>IF(AC102&gt;0,Masts!$C$13*0.8888,0)</f>
        <v>0</v>
      </c>
      <c r="AH102" s="173">
        <f t="shared" si="39"/>
        <v>0</v>
      </c>
      <c r="AI102" s="174">
        <f t="shared" si="60"/>
        <v>0</v>
      </c>
      <c r="AJ102" s="175">
        <f t="shared" si="61"/>
        <v>0</v>
      </c>
      <c r="AK102" s="176">
        <f t="shared" si="62"/>
        <v>0</v>
      </c>
      <c r="AL102" s="172">
        <f t="shared" si="48"/>
        <v>0</v>
      </c>
      <c r="AM102" s="169"/>
      <c r="AN102" s="174">
        <f t="shared" si="67"/>
        <v>0</v>
      </c>
      <c r="AO102" s="176">
        <f t="shared" si="68"/>
        <v>0</v>
      </c>
      <c r="AP102" s="175">
        <f t="shared" si="69"/>
        <v>0</v>
      </c>
      <c r="AQ102" s="172">
        <f t="shared" si="50"/>
        <v>0</v>
      </c>
      <c r="AR102" s="173">
        <f t="shared" si="63"/>
        <v>0</v>
      </c>
      <c r="AS102" s="56">
        <f>'Ship Data Metric'!E103*0.03280839895</f>
        <v>0</v>
      </c>
      <c r="AT102" s="75"/>
      <c r="AU102" s="172">
        <f t="shared" si="64"/>
        <v>0</v>
      </c>
      <c r="AV102" s="173">
        <f t="shared" si="65"/>
        <v>0</v>
      </c>
      <c r="AW102" s="174">
        <f t="shared" si="52"/>
        <v>0</v>
      </c>
      <c r="AX102" s="175">
        <f t="shared" si="53"/>
        <v>0</v>
      </c>
      <c r="AY102" s="176">
        <f t="shared" si="66"/>
        <v>0</v>
      </c>
      <c r="AZ102" s="172">
        <f t="shared" si="54"/>
        <v>0</v>
      </c>
      <c r="BA102" s="173">
        <f t="shared" si="55"/>
        <v>0</v>
      </c>
    </row>
    <row r="103" ht="15.75" customHeight="1">
      <c r="Z103" s="5"/>
      <c r="AA103" s="75"/>
      <c r="AB103" s="76" t="s">
        <v>28</v>
      </c>
      <c r="AC103" s="56">
        <f>IF('Ship Data Imperial'!E104&gt;0,'Ship Data Imperial'!E104,AS103)</f>
        <v>39.29002625</v>
      </c>
      <c r="AD103" s="77"/>
      <c r="AE103" s="77"/>
      <c r="AF103" s="171" t="str">
        <f>'Ship Data Imperial'!I104</f>
        <v/>
      </c>
      <c r="AG103" s="172">
        <f>IF(AC103&gt;0,Masts!$C$13*0.8888,0)</f>
        <v>34.92097533</v>
      </c>
      <c r="AH103" s="173">
        <f t="shared" si="39"/>
        <v>30.55585341</v>
      </c>
      <c r="AI103" s="174">
        <f t="shared" si="60"/>
        <v>21.81687934</v>
      </c>
      <c r="AJ103" s="175">
        <f t="shared" si="61"/>
        <v>24.93357638</v>
      </c>
      <c r="AK103" s="176">
        <f t="shared" si="62"/>
        <v>30.55585341</v>
      </c>
      <c r="AL103" s="172">
        <f t="shared" si="48"/>
        <v>29.09964874</v>
      </c>
      <c r="AM103" s="169"/>
      <c r="AN103" s="174">
        <f t="shared" si="67"/>
        <v>14.96014583</v>
      </c>
      <c r="AO103" s="176">
        <f t="shared" si="68"/>
        <v>18.33351205</v>
      </c>
      <c r="AP103" s="175">
        <f t="shared" si="69"/>
        <v>0</v>
      </c>
      <c r="AQ103" s="172">
        <f t="shared" si="50"/>
        <v>30.55585341</v>
      </c>
      <c r="AR103" s="173">
        <f t="shared" si="63"/>
        <v>18.33351205</v>
      </c>
      <c r="AS103" s="56">
        <f>'Ship Data Metric'!E104*0.03280839895</f>
        <v>39.29002625</v>
      </c>
      <c r="AT103" s="75"/>
      <c r="AU103" s="172">
        <f t="shared" si="64"/>
        <v>8.148227577</v>
      </c>
      <c r="AV103" s="173">
        <f t="shared" si="65"/>
        <v>7.129699129</v>
      </c>
      <c r="AW103" s="174">
        <f t="shared" si="52"/>
        <v>2.992029166</v>
      </c>
      <c r="AX103" s="175">
        <f t="shared" si="53"/>
        <v>3.666702409</v>
      </c>
      <c r="AY103" s="176">
        <f t="shared" si="66"/>
        <v>4.545183195</v>
      </c>
      <c r="AZ103" s="172">
        <f t="shared" si="54"/>
        <v>3.666702409</v>
      </c>
      <c r="BA103" s="173">
        <f t="shared" si="55"/>
        <v>5.222416961</v>
      </c>
    </row>
    <row r="104" ht="15.75" customHeight="1">
      <c r="Z104" s="5"/>
      <c r="AA104" s="75"/>
      <c r="AB104" s="76" t="s">
        <v>29</v>
      </c>
      <c r="AC104" s="56">
        <f>IF('Ship Data Imperial'!E105&gt;0,'Ship Data Imperial'!E105,AS104)</f>
        <v>0</v>
      </c>
      <c r="AD104" s="77"/>
      <c r="AE104" s="77"/>
      <c r="AF104" s="171" t="str">
        <f>'Ship Data Imperial'!I105</f>
        <v/>
      </c>
      <c r="AG104" s="172">
        <f>IF(AC104&gt;0,Masts!$C$13*0.8888,0)</f>
        <v>0</v>
      </c>
      <c r="AH104" s="173">
        <f t="shared" si="39"/>
        <v>0</v>
      </c>
      <c r="AI104" s="174">
        <f t="shared" si="60"/>
        <v>0</v>
      </c>
      <c r="AJ104" s="175">
        <f t="shared" si="61"/>
        <v>0</v>
      </c>
      <c r="AK104" s="176">
        <f t="shared" si="62"/>
        <v>0</v>
      </c>
      <c r="AL104" s="172">
        <f t="shared" si="48"/>
        <v>0</v>
      </c>
      <c r="AM104" s="169"/>
      <c r="AN104" s="174">
        <f t="shared" si="67"/>
        <v>0</v>
      </c>
      <c r="AO104" s="176">
        <f t="shared" si="68"/>
        <v>0</v>
      </c>
      <c r="AP104" s="175">
        <f t="shared" si="69"/>
        <v>0</v>
      </c>
      <c r="AQ104" s="172">
        <f t="shared" si="50"/>
        <v>0</v>
      </c>
      <c r="AR104" s="173">
        <f t="shared" si="63"/>
        <v>0</v>
      </c>
      <c r="AS104" s="56">
        <f>'Ship Data Metric'!E105*0.03280839895</f>
        <v>0</v>
      </c>
      <c r="AT104" s="75"/>
      <c r="AU104" s="172">
        <f t="shared" si="64"/>
        <v>0</v>
      </c>
      <c r="AV104" s="173">
        <f t="shared" si="65"/>
        <v>0</v>
      </c>
      <c r="AW104" s="174">
        <f t="shared" si="52"/>
        <v>0</v>
      </c>
      <c r="AX104" s="175">
        <f t="shared" si="53"/>
        <v>0</v>
      </c>
      <c r="AY104" s="176">
        <f t="shared" si="66"/>
        <v>0</v>
      </c>
      <c r="AZ104" s="172">
        <f t="shared" si="54"/>
        <v>0</v>
      </c>
      <c r="BA104" s="173">
        <f t="shared" si="55"/>
        <v>0</v>
      </c>
    </row>
    <row r="105" ht="15.75" customHeight="1">
      <c r="Z105" s="5"/>
      <c r="AA105" s="75"/>
      <c r="AB105" s="158" t="s">
        <v>56</v>
      </c>
      <c r="AC105" s="56">
        <f>IF('Ship Data Imperial'!E106&gt;0,'Ship Data Imperial'!E106,AS105)</f>
        <v>0</v>
      </c>
      <c r="AD105" s="77"/>
      <c r="AE105" s="77"/>
      <c r="AF105" s="171" t="str">
        <f>'Ship Data Imperial'!I106</f>
        <v/>
      </c>
      <c r="AG105" s="172">
        <f>IF(AC105&gt;0,Masts!$C$13*0.8888,0)</f>
        <v>0</v>
      </c>
      <c r="AH105" s="173">
        <f t="shared" si="39"/>
        <v>0</v>
      </c>
      <c r="AI105" s="174">
        <f t="shared" si="60"/>
        <v>0</v>
      </c>
      <c r="AJ105" s="175">
        <f t="shared" si="61"/>
        <v>0</v>
      </c>
      <c r="AK105" s="176">
        <f t="shared" si="62"/>
        <v>0</v>
      </c>
      <c r="AL105" s="172">
        <f t="shared" si="48"/>
        <v>0</v>
      </c>
      <c r="AM105" s="169"/>
      <c r="AN105" s="174">
        <f t="shared" si="67"/>
        <v>0</v>
      </c>
      <c r="AO105" s="176">
        <f t="shared" si="68"/>
        <v>0</v>
      </c>
      <c r="AP105" s="175">
        <f t="shared" si="69"/>
        <v>0</v>
      </c>
      <c r="AQ105" s="172">
        <f t="shared" si="50"/>
        <v>0</v>
      </c>
      <c r="AR105" s="173">
        <f t="shared" si="63"/>
        <v>0</v>
      </c>
      <c r="AS105" s="56">
        <f>'Ship Data Metric'!E106*0.03280839895</f>
        <v>0</v>
      </c>
      <c r="AT105" s="75"/>
      <c r="AU105" s="172">
        <f t="shared" si="64"/>
        <v>0</v>
      </c>
      <c r="AV105" s="173">
        <f t="shared" si="65"/>
        <v>0</v>
      </c>
      <c r="AW105" s="174">
        <f t="shared" si="52"/>
        <v>0</v>
      </c>
      <c r="AX105" s="175">
        <f t="shared" si="53"/>
        <v>0</v>
      </c>
      <c r="AY105" s="176">
        <f t="shared" si="66"/>
        <v>0</v>
      </c>
      <c r="AZ105" s="172">
        <f t="shared" si="54"/>
        <v>0</v>
      </c>
      <c r="BA105" s="173">
        <f t="shared" si="55"/>
        <v>0</v>
      </c>
    </row>
    <row r="106" ht="15.75" customHeight="1">
      <c r="Z106" s="5"/>
      <c r="AA106" s="75" t="s">
        <v>52</v>
      </c>
      <c r="AB106" s="158" t="s">
        <v>24</v>
      </c>
      <c r="AC106" s="56">
        <f>IF('Ship Data Imperial'!E107&gt;0,'Ship Data Imperial'!E107,AS106)</f>
        <v>0</v>
      </c>
      <c r="AD106" s="77"/>
      <c r="AE106" s="77"/>
      <c r="AF106" s="171" t="str">
        <f>'Ship Data Imperial'!I107</f>
        <v/>
      </c>
      <c r="AG106" s="172">
        <f>IF(AC106&gt;0,Masts!$C$13*0.8888,0)</f>
        <v>0</v>
      </c>
      <c r="AH106" s="173">
        <f t="shared" si="39"/>
        <v>0</v>
      </c>
      <c r="AI106" s="174">
        <f t="shared" si="60"/>
        <v>0</v>
      </c>
      <c r="AJ106" s="175">
        <f t="shared" si="61"/>
        <v>0</v>
      </c>
      <c r="AK106" s="176">
        <f t="shared" si="62"/>
        <v>0</v>
      </c>
      <c r="AL106" s="172">
        <f t="shared" si="48"/>
        <v>0</v>
      </c>
      <c r="AM106" s="169"/>
      <c r="AN106" s="174">
        <f>IF(AC106&gt;0,$AJ$136*0.666,0)</f>
        <v>0</v>
      </c>
      <c r="AO106" s="176">
        <f>IF(AC106&gt;0,$AK$136*0.666,0)</f>
        <v>0</v>
      </c>
      <c r="AP106" s="175">
        <f>IF(AC106&gt;0,$AM$136*0.666,0)</f>
        <v>0</v>
      </c>
      <c r="AQ106" s="172">
        <f t="shared" si="50"/>
        <v>0</v>
      </c>
      <c r="AR106" s="173">
        <f t="shared" si="63"/>
        <v>0</v>
      </c>
      <c r="AS106" s="56">
        <f>'Ship Data Metric'!E107*0.03280839895</f>
        <v>0</v>
      </c>
      <c r="AT106" s="75" t="s">
        <v>52</v>
      </c>
      <c r="AU106" s="172">
        <f t="shared" si="64"/>
        <v>0</v>
      </c>
      <c r="AV106" s="173">
        <f t="shared" si="65"/>
        <v>0</v>
      </c>
      <c r="AW106" s="174">
        <f t="shared" si="52"/>
        <v>0</v>
      </c>
      <c r="AX106" s="175">
        <f t="shared" si="53"/>
        <v>0</v>
      </c>
      <c r="AY106" s="176">
        <f t="shared" si="66"/>
        <v>0</v>
      </c>
      <c r="AZ106" s="172">
        <f t="shared" si="54"/>
        <v>0</v>
      </c>
      <c r="BA106" s="173">
        <f t="shared" si="55"/>
        <v>0</v>
      </c>
    </row>
    <row r="107" ht="15.75" customHeight="1">
      <c r="Z107" s="5"/>
      <c r="AA107" s="75"/>
      <c r="AB107" s="158" t="s">
        <v>25</v>
      </c>
      <c r="AC107" s="56">
        <f>IF('Ship Data Imperial'!E108&gt;0,'Ship Data Imperial'!E108,AS107)</f>
        <v>0</v>
      </c>
      <c r="AD107" s="77"/>
      <c r="AE107" s="77"/>
      <c r="AF107" s="171" t="str">
        <f>'Ship Data Imperial'!I108</f>
        <v/>
      </c>
      <c r="AG107" s="172">
        <f>IF(AC107&gt;0,Masts!$C$13*0.8888,0)</f>
        <v>0</v>
      </c>
      <c r="AH107" s="173">
        <f t="shared" si="39"/>
        <v>0</v>
      </c>
      <c r="AI107" s="174">
        <f t="shared" si="60"/>
        <v>0</v>
      </c>
      <c r="AJ107" s="175">
        <f t="shared" si="61"/>
        <v>0</v>
      </c>
      <c r="AK107" s="176">
        <f t="shared" si="62"/>
        <v>0</v>
      </c>
      <c r="AL107" s="172">
        <f t="shared" si="48"/>
        <v>0</v>
      </c>
      <c r="AM107" s="169"/>
      <c r="AN107" s="174">
        <f t="shared" ref="AN107:AN113" si="70">IF(AC107&gt;0,$AJ$136*0.6,0)</f>
        <v>0</v>
      </c>
      <c r="AO107" s="176">
        <f t="shared" ref="AO107:AO113" si="71">IF(AC107&gt;0,$AK$136*0.6,0)</f>
        <v>0</v>
      </c>
      <c r="AP107" s="175">
        <f t="shared" ref="AP107:AP113" si="72">IF(AC107&gt;0,$AM$136*0.6,0)</f>
        <v>0</v>
      </c>
      <c r="AQ107" s="172">
        <f t="shared" si="50"/>
        <v>0</v>
      </c>
      <c r="AR107" s="173">
        <f t="shared" si="63"/>
        <v>0</v>
      </c>
      <c r="AS107" s="56">
        <f>'Ship Data Metric'!E108*0.03280839895</f>
        <v>0</v>
      </c>
      <c r="AT107" s="75"/>
      <c r="AU107" s="172">
        <f t="shared" si="64"/>
        <v>0</v>
      </c>
      <c r="AV107" s="173">
        <f t="shared" si="65"/>
        <v>0</v>
      </c>
      <c r="AW107" s="174">
        <f t="shared" si="52"/>
        <v>0</v>
      </c>
      <c r="AX107" s="175">
        <f t="shared" si="53"/>
        <v>0</v>
      </c>
      <c r="AY107" s="176">
        <f t="shared" si="66"/>
        <v>0</v>
      </c>
      <c r="AZ107" s="172">
        <f t="shared" si="54"/>
        <v>0</v>
      </c>
      <c r="BA107" s="173">
        <f t="shared" si="55"/>
        <v>0</v>
      </c>
    </row>
    <row r="108" ht="15.75" customHeight="1">
      <c r="Z108" s="5"/>
      <c r="AA108" s="75"/>
      <c r="AB108" s="158" t="s">
        <v>40</v>
      </c>
      <c r="AC108" s="56">
        <f>IF('Ship Data Imperial'!E109&gt;0,'Ship Data Imperial'!E109,AS108)</f>
        <v>0</v>
      </c>
      <c r="AD108" s="77"/>
      <c r="AE108" s="77"/>
      <c r="AF108" s="171" t="str">
        <f>'Ship Data Imperial'!I109</f>
        <v/>
      </c>
      <c r="AG108" s="172">
        <f>IF(AC108&gt;0,Masts!$C$13*0.8888,0)</f>
        <v>0</v>
      </c>
      <c r="AH108" s="173">
        <f t="shared" si="39"/>
        <v>0</v>
      </c>
      <c r="AI108" s="174">
        <f t="shared" si="60"/>
        <v>0</v>
      </c>
      <c r="AJ108" s="175">
        <f t="shared" si="61"/>
        <v>0</v>
      </c>
      <c r="AK108" s="176">
        <f t="shared" si="62"/>
        <v>0</v>
      </c>
      <c r="AL108" s="172">
        <f t="shared" si="48"/>
        <v>0</v>
      </c>
      <c r="AM108" s="169"/>
      <c r="AN108" s="174">
        <f t="shared" si="70"/>
        <v>0</v>
      </c>
      <c r="AO108" s="176">
        <f t="shared" si="71"/>
        <v>0</v>
      </c>
      <c r="AP108" s="175">
        <f t="shared" si="72"/>
        <v>0</v>
      </c>
      <c r="AQ108" s="172">
        <f t="shared" si="50"/>
        <v>0</v>
      </c>
      <c r="AR108" s="173">
        <f t="shared" si="63"/>
        <v>0</v>
      </c>
      <c r="AS108" s="56">
        <f>'Ship Data Metric'!E109*0.03280839895</f>
        <v>0</v>
      </c>
      <c r="AT108" s="75"/>
      <c r="AU108" s="172">
        <f t="shared" si="64"/>
        <v>0</v>
      </c>
      <c r="AV108" s="173">
        <f t="shared" si="65"/>
        <v>0</v>
      </c>
      <c r="AW108" s="174">
        <f t="shared" si="52"/>
        <v>0</v>
      </c>
      <c r="AX108" s="175">
        <f t="shared" si="53"/>
        <v>0</v>
      </c>
      <c r="AY108" s="176">
        <f t="shared" si="66"/>
        <v>0</v>
      </c>
      <c r="AZ108" s="172">
        <f t="shared" si="54"/>
        <v>0</v>
      </c>
      <c r="BA108" s="173">
        <f t="shared" si="55"/>
        <v>0</v>
      </c>
    </row>
    <row r="109" ht="15.75" customHeight="1">
      <c r="Z109" s="5"/>
      <c r="AA109" s="75"/>
      <c r="AB109" s="158" t="s">
        <v>41</v>
      </c>
      <c r="AC109" s="56">
        <f>IF('Ship Data Imperial'!E110&gt;0,'Ship Data Imperial'!E110,AS109)</f>
        <v>0</v>
      </c>
      <c r="AD109" s="77"/>
      <c r="AE109" s="77"/>
      <c r="AF109" s="171" t="str">
        <f>'Ship Data Imperial'!I110</f>
        <v/>
      </c>
      <c r="AG109" s="172">
        <f>IF(AC109&gt;0,Masts!$C$13*0.8888,0)</f>
        <v>0</v>
      </c>
      <c r="AH109" s="173">
        <f t="shared" si="39"/>
        <v>0</v>
      </c>
      <c r="AI109" s="174">
        <f t="shared" si="60"/>
        <v>0</v>
      </c>
      <c r="AJ109" s="175">
        <f t="shared" si="61"/>
        <v>0</v>
      </c>
      <c r="AK109" s="176">
        <f t="shared" si="62"/>
        <v>0</v>
      </c>
      <c r="AL109" s="172">
        <f t="shared" si="48"/>
        <v>0</v>
      </c>
      <c r="AM109" s="169"/>
      <c r="AN109" s="174">
        <f t="shared" si="70"/>
        <v>0</v>
      </c>
      <c r="AO109" s="176">
        <f t="shared" si="71"/>
        <v>0</v>
      </c>
      <c r="AP109" s="175">
        <f t="shared" si="72"/>
        <v>0</v>
      </c>
      <c r="AQ109" s="172">
        <f t="shared" si="50"/>
        <v>0</v>
      </c>
      <c r="AR109" s="173">
        <f t="shared" si="63"/>
        <v>0</v>
      </c>
      <c r="AS109" s="56">
        <f>'Ship Data Metric'!E110*0.03280839895</f>
        <v>0</v>
      </c>
      <c r="AT109" s="75"/>
      <c r="AU109" s="172">
        <f t="shared" si="64"/>
        <v>0</v>
      </c>
      <c r="AV109" s="173">
        <f t="shared" si="65"/>
        <v>0</v>
      </c>
      <c r="AW109" s="174">
        <f t="shared" si="52"/>
        <v>0</v>
      </c>
      <c r="AX109" s="175">
        <f t="shared" si="53"/>
        <v>0</v>
      </c>
      <c r="AY109" s="176">
        <f t="shared" si="66"/>
        <v>0</v>
      </c>
      <c r="AZ109" s="172">
        <f t="shared" si="54"/>
        <v>0</v>
      </c>
      <c r="BA109" s="173">
        <f t="shared" si="55"/>
        <v>0</v>
      </c>
    </row>
    <row r="110" ht="15.75" customHeight="1">
      <c r="Z110" s="5"/>
      <c r="AA110" s="75"/>
      <c r="AB110" s="76" t="s">
        <v>27</v>
      </c>
      <c r="AC110" s="56">
        <f>IF('Ship Data Imperial'!E111&gt;0,'Ship Data Imperial'!E111,AS110)</f>
        <v>0</v>
      </c>
      <c r="AD110" s="77"/>
      <c r="AE110" s="77"/>
      <c r="AF110" s="171" t="str">
        <f>'Ship Data Imperial'!I111</f>
        <v/>
      </c>
      <c r="AG110" s="172">
        <f>IF(AC110&gt;0,Masts!$C$13*0.8888,0)</f>
        <v>0</v>
      </c>
      <c r="AH110" s="173">
        <f t="shared" si="39"/>
        <v>0</v>
      </c>
      <c r="AI110" s="174">
        <f t="shared" si="60"/>
        <v>0</v>
      </c>
      <c r="AJ110" s="175">
        <f t="shared" si="61"/>
        <v>0</v>
      </c>
      <c r="AK110" s="176">
        <f t="shared" si="62"/>
        <v>0</v>
      </c>
      <c r="AL110" s="172">
        <f t="shared" si="48"/>
        <v>0</v>
      </c>
      <c r="AM110" s="169"/>
      <c r="AN110" s="174">
        <f t="shared" si="70"/>
        <v>0</v>
      </c>
      <c r="AO110" s="176">
        <f t="shared" si="71"/>
        <v>0</v>
      </c>
      <c r="AP110" s="175">
        <f t="shared" si="72"/>
        <v>0</v>
      </c>
      <c r="AQ110" s="172">
        <f t="shared" si="50"/>
        <v>0</v>
      </c>
      <c r="AR110" s="173">
        <f t="shared" si="63"/>
        <v>0</v>
      </c>
      <c r="AS110" s="56">
        <f>'Ship Data Metric'!E111*0.03280839895</f>
        <v>0</v>
      </c>
      <c r="AT110" s="75"/>
      <c r="AU110" s="172">
        <f t="shared" si="64"/>
        <v>0</v>
      </c>
      <c r="AV110" s="173">
        <f t="shared" si="65"/>
        <v>0</v>
      </c>
      <c r="AW110" s="174">
        <f t="shared" si="52"/>
        <v>0</v>
      </c>
      <c r="AX110" s="175">
        <f t="shared" si="53"/>
        <v>0</v>
      </c>
      <c r="AY110" s="176">
        <f t="shared" si="66"/>
        <v>0</v>
      </c>
      <c r="AZ110" s="172">
        <f t="shared" si="54"/>
        <v>0</v>
      </c>
      <c r="BA110" s="173">
        <f t="shared" si="55"/>
        <v>0</v>
      </c>
    </row>
    <row r="111" ht="15.75" customHeight="1">
      <c r="Z111" s="5"/>
      <c r="AA111" s="75"/>
      <c r="AB111" s="76" t="s">
        <v>28</v>
      </c>
      <c r="AC111" s="56">
        <f>IF('Ship Data Imperial'!E112&gt;0,'Ship Data Imperial'!E112,AS111)</f>
        <v>0</v>
      </c>
      <c r="AD111" s="77"/>
      <c r="AE111" s="77"/>
      <c r="AF111" s="171" t="str">
        <f>'Ship Data Imperial'!I112</f>
        <v/>
      </c>
      <c r="AG111" s="172">
        <f>IF(AC111&gt;0,Masts!$C$13*0.8888,0)</f>
        <v>0</v>
      </c>
      <c r="AH111" s="173">
        <f t="shared" si="39"/>
        <v>0</v>
      </c>
      <c r="AI111" s="174">
        <f t="shared" si="60"/>
        <v>0</v>
      </c>
      <c r="AJ111" s="175">
        <f t="shared" si="61"/>
        <v>0</v>
      </c>
      <c r="AK111" s="176">
        <f t="shared" si="62"/>
        <v>0</v>
      </c>
      <c r="AL111" s="172">
        <f t="shared" si="48"/>
        <v>0</v>
      </c>
      <c r="AM111" s="169"/>
      <c r="AN111" s="174">
        <f t="shared" si="70"/>
        <v>0</v>
      </c>
      <c r="AO111" s="176">
        <f t="shared" si="71"/>
        <v>0</v>
      </c>
      <c r="AP111" s="175">
        <f t="shared" si="72"/>
        <v>0</v>
      </c>
      <c r="AQ111" s="172">
        <f t="shared" si="50"/>
        <v>0</v>
      </c>
      <c r="AR111" s="173">
        <f t="shared" si="63"/>
        <v>0</v>
      </c>
      <c r="AS111" s="56">
        <f>'Ship Data Metric'!E112*0.03280839895</f>
        <v>0</v>
      </c>
      <c r="AT111" s="75"/>
      <c r="AU111" s="172">
        <f t="shared" si="64"/>
        <v>0</v>
      </c>
      <c r="AV111" s="173">
        <f t="shared" si="65"/>
        <v>0</v>
      </c>
      <c r="AW111" s="174">
        <f t="shared" si="52"/>
        <v>0</v>
      </c>
      <c r="AX111" s="175">
        <f t="shared" si="53"/>
        <v>0</v>
      </c>
      <c r="AY111" s="176">
        <f t="shared" si="66"/>
        <v>0</v>
      </c>
      <c r="AZ111" s="172">
        <f t="shared" si="54"/>
        <v>0</v>
      </c>
      <c r="BA111" s="173">
        <f t="shared" si="55"/>
        <v>0</v>
      </c>
    </row>
    <row r="112" ht="15.75" customHeight="1">
      <c r="Z112" s="5"/>
      <c r="AA112" s="75"/>
      <c r="AB112" s="76" t="s">
        <v>29</v>
      </c>
      <c r="AC112" s="56">
        <f>IF('Ship Data Imperial'!E113&gt;0,'Ship Data Imperial'!E113,AS112)</f>
        <v>0</v>
      </c>
      <c r="AD112" s="77"/>
      <c r="AE112" s="77"/>
      <c r="AF112" s="171" t="str">
        <f>'Ship Data Imperial'!I113</f>
        <v/>
      </c>
      <c r="AG112" s="172">
        <f>IF(AC112&gt;0,Masts!$C$13*0.8888,0)</f>
        <v>0</v>
      </c>
      <c r="AH112" s="173">
        <f t="shared" si="39"/>
        <v>0</v>
      </c>
      <c r="AI112" s="174">
        <f t="shared" si="60"/>
        <v>0</v>
      </c>
      <c r="AJ112" s="175">
        <f t="shared" si="61"/>
        <v>0</v>
      </c>
      <c r="AK112" s="176">
        <f t="shared" si="62"/>
        <v>0</v>
      </c>
      <c r="AL112" s="172">
        <f t="shared" si="48"/>
        <v>0</v>
      </c>
      <c r="AM112" s="169"/>
      <c r="AN112" s="174">
        <f t="shared" si="70"/>
        <v>0</v>
      </c>
      <c r="AO112" s="176">
        <f t="shared" si="71"/>
        <v>0</v>
      </c>
      <c r="AP112" s="175">
        <f t="shared" si="72"/>
        <v>0</v>
      </c>
      <c r="AQ112" s="172">
        <f t="shared" si="50"/>
        <v>0</v>
      </c>
      <c r="AR112" s="173">
        <f t="shared" si="63"/>
        <v>0</v>
      </c>
      <c r="AS112" s="56">
        <f>'Ship Data Metric'!E113*0.03280839895</f>
        <v>0</v>
      </c>
      <c r="AT112" s="75"/>
      <c r="AU112" s="172">
        <f t="shared" si="64"/>
        <v>0</v>
      </c>
      <c r="AV112" s="173">
        <f t="shared" si="65"/>
        <v>0</v>
      </c>
      <c r="AW112" s="174">
        <f t="shared" si="52"/>
        <v>0</v>
      </c>
      <c r="AX112" s="175">
        <f t="shared" si="53"/>
        <v>0</v>
      </c>
      <c r="AY112" s="176">
        <f t="shared" si="66"/>
        <v>0</v>
      </c>
      <c r="AZ112" s="172">
        <f t="shared" si="54"/>
        <v>0</v>
      </c>
      <c r="BA112" s="173">
        <f t="shared" si="55"/>
        <v>0</v>
      </c>
    </row>
    <row r="113" ht="15.75" customHeight="1">
      <c r="Z113" s="5"/>
      <c r="AA113" s="75"/>
      <c r="AB113" s="158" t="s">
        <v>56</v>
      </c>
      <c r="AC113" s="56">
        <f>IF('Ship Data Imperial'!E114&gt;0,'Ship Data Imperial'!E114,AS113)</f>
        <v>0</v>
      </c>
      <c r="AD113" s="77"/>
      <c r="AE113" s="77"/>
      <c r="AF113" s="171" t="str">
        <f>'Ship Data Imperial'!I114</f>
        <v/>
      </c>
      <c r="AG113" s="172">
        <f>IF(AC113&gt;0,Masts!$C$13*0.8888,0)</f>
        <v>0</v>
      </c>
      <c r="AH113" s="173">
        <f t="shared" si="39"/>
        <v>0</v>
      </c>
      <c r="AI113" s="174">
        <f t="shared" si="60"/>
        <v>0</v>
      </c>
      <c r="AJ113" s="175">
        <f t="shared" si="61"/>
        <v>0</v>
      </c>
      <c r="AK113" s="176">
        <f t="shared" si="62"/>
        <v>0</v>
      </c>
      <c r="AL113" s="172">
        <f t="shared" si="48"/>
        <v>0</v>
      </c>
      <c r="AM113" s="169"/>
      <c r="AN113" s="174">
        <f t="shared" si="70"/>
        <v>0</v>
      </c>
      <c r="AO113" s="176">
        <f t="shared" si="71"/>
        <v>0</v>
      </c>
      <c r="AP113" s="175">
        <f t="shared" si="72"/>
        <v>0</v>
      </c>
      <c r="AQ113" s="172">
        <f t="shared" si="50"/>
        <v>0</v>
      </c>
      <c r="AR113" s="173">
        <f t="shared" si="63"/>
        <v>0</v>
      </c>
      <c r="AS113" s="56">
        <f>'Ship Data Metric'!E114*0.03280839895</f>
        <v>0</v>
      </c>
      <c r="AT113" s="75"/>
      <c r="AU113" s="172">
        <f t="shared" si="64"/>
        <v>0</v>
      </c>
      <c r="AV113" s="173">
        <f t="shared" si="65"/>
        <v>0</v>
      </c>
      <c r="AW113" s="174">
        <f t="shared" si="52"/>
        <v>0</v>
      </c>
      <c r="AX113" s="175">
        <f t="shared" si="53"/>
        <v>0</v>
      </c>
      <c r="AY113" s="176">
        <f t="shared" si="66"/>
        <v>0</v>
      </c>
      <c r="AZ113" s="172">
        <f t="shared" si="54"/>
        <v>0</v>
      </c>
      <c r="BA113" s="173">
        <f t="shared" si="55"/>
        <v>0</v>
      </c>
    </row>
    <row r="114" ht="15.75" customHeight="1">
      <c r="Z114" s="5"/>
      <c r="AA114" s="75" t="s">
        <v>53</v>
      </c>
      <c r="AB114" s="76" t="s">
        <v>24</v>
      </c>
      <c r="AC114" s="56">
        <f>IF('Ship Data Imperial'!E115&gt;0,'Ship Data Imperial'!E115,AS114)</f>
        <v>0</v>
      </c>
      <c r="AD114" s="77"/>
      <c r="AE114" s="77"/>
      <c r="AF114" s="171" t="str">
        <f>'Ship Data Imperial'!I115</f>
        <v/>
      </c>
      <c r="AG114" s="172">
        <f>IF(AC114&gt;0,Masts!$C$13*0.8888,0)</f>
        <v>0</v>
      </c>
      <c r="AH114" s="173">
        <f t="shared" si="39"/>
        <v>0</v>
      </c>
      <c r="AI114" s="174">
        <f t="shared" si="60"/>
        <v>0</v>
      </c>
      <c r="AJ114" s="175">
        <f t="shared" si="61"/>
        <v>0</v>
      </c>
      <c r="AK114" s="176">
        <f t="shared" si="62"/>
        <v>0</v>
      </c>
      <c r="AL114" s="172">
        <f t="shared" si="48"/>
        <v>0</v>
      </c>
      <c r="AM114" s="169"/>
      <c r="AN114" s="174">
        <f t="shared" ref="AN114:AN115" si="73">IF(AC114&gt;0,$AJ$136*0.666,0)</f>
        <v>0</v>
      </c>
      <c r="AO114" s="176">
        <f t="shared" ref="AO114:AO115" si="74">IF(AC114&gt;0,$AK$136*0.666,0)</f>
        <v>0</v>
      </c>
      <c r="AP114" s="175">
        <f t="shared" ref="AP114:AP115" si="75">IF(AC114&gt;0,$AM$136*0.666,0)</f>
        <v>0</v>
      </c>
      <c r="AQ114" s="172">
        <f t="shared" si="50"/>
        <v>0</v>
      </c>
      <c r="AR114" s="173">
        <f t="shared" si="63"/>
        <v>0</v>
      </c>
      <c r="AS114" s="56">
        <f>'Ship Data Metric'!E115*0.03280839895</f>
        <v>0</v>
      </c>
      <c r="AT114" s="75" t="s">
        <v>53</v>
      </c>
      <c r="AU114" s="172">
        <f t="shared" si="64"/>
        <v>0</v>
      </c>
      <c r="AV114" s="173">
        <f t="shared" si="65"/>
        <v>0</v>
      </c>
      <c r="AW114" s="174">
        <f t="shared" si="52"/>
        <v>0</v>
      </c>
      <c r="AX114" s="175">
        <f t="shared" si="53"/>
        <v>0</v>
      </c>
      <c r="AY114" s="176">
        <f t="shared" si="66"/>
        <v>0</v>
      </c>
      <c r="AZ114" s="172">
        <f t="shared" si="54"/>
        <v>0</v>
      </c>
      <c r="BA114" s="173">
        <f t="shared" si="55"/>
        <v>0</v>
      </c>
    </row>
    <row r="115" ht="15.75" customHeight="1">
      <c r="Z115" s="5"/>
      <c r="AA115" s="75"/>
      <c r="AB115" s="76" t="s">
        <v>25</v>
      </c>
      <c r="AC115" s="56">
        <f>IF('Ship Data Imperial'!E116&gt;0,'Ship Data Imperial'!E116,AS115)</f>
        <v>0</v>
      </c>
      <c r="AD115" s="77"/>
      <c r="AE115" s="77"/>
      <c r="AF115" s="171" t="str">
        <f>'Ship Data Imperial'!I116</f>
        <v/>
      </c>
      <c r="AG115" s="172">
        <f>IF(AC115&gt;0,Masts!$C$13*0.8888,0)</f>
        <v>0</v>
      </c>
      <c r="AH115" s="173">
        <f t="shared" si="39"/>
        <v>0</v>
      </c>
      <c r="AI115" s="174">
        <f t="shared" si="60"/>
        <v>0</v>
      </c>
      <c r="AJ115" s="175">
        <f t="shared" si="61"/>
        <v>0</v>
      </c>
      <c r="AK115" s="176">
        <f t="shared" si="62"/>
        <v>0</v>
      </c>
      <c r="AL115" s="172">
        <f t="shared" si="48"/>
        <v>0</v>
      </c>
      <c r="AM115" s="169"/>
      <c r="AN115" s="174">
        <f t="shared" si="73"/>
        <v>0</v>
      </c>
      <c r="AO115" s="176">
        <f t="shared" si="74"/>
        <v>0</v>
      </c>
      <c r="AP115" s="175">
        <f t="shared" si="75"/>
        <v>0</v>
      </c>
      <c r="AQ115" s="172">
        <f t="shared" si="50"/>
        <v>0</v>
      </c>
      <c r="AR115" s="173">
        <f t="shared" si="63"/>
        <v>0</v>
      </c>
      <c r="AS115" s="56">
        <f>'Ship Data Metric'!E116*0.03280839895</f>
        <v>0</v>
      </c>
      <c r="AT115" s="75"/>
      <c r="AU115" s="172">
        <f t="shared" si="64"/>
        <v>0</v>
      </c>
      <c r="AV115" s="173">
        <f t="shared" si="65"/>
        <v>0</v>
      </c>
      <c r="AW115" s="174">
        <f t="shared" si="52"/>
        <v>0</v>
      </c>
      <c r="AX115" s="175">
        <f t="shared" si="53"/>
        <v>0</v>
      </c>
      <c r="AY115" s="176">
        <f t="shared" si="66"/>
        <v>0</v>
      </c>
      <c r="AZ115" s="172">
        <f t="shared" si="54"/>
        <v>0</v>
      </c>
      <c r="BA115" s="173">
        <f t="shared" si="55"/>
        <v>0</v>
      </c>
    </row>
    <row r="116" ht="15.75" customHeight="1">
      <c r="Z116" s="5"/>
      <c r="AA116" s="75"/>
      <c r="AB116" s="76" t="s">
        <v>26</v>
      </c>
      <c r="AC116" s="56">
        <f>IF('Ship Data Imperial'!E117&gt;0,'Ship Data Imperial'!E117,AS116)</f>
        <v>0</v>
      </c>
      <c r="AD116" s="77"/>
      <c r="AE116" s="77"/>
      <c r="AF116" s="171" t="str">
        <f>'Ship Data Imperial'!I117</f>
        <v/>
      </c>
      <c r="AG116" s="172">
        <f>IF(AC116&gt;0,Masts!$C$13*0.8888,0)</f>
        <v>0</v>
      </c>
      <c r="AH116" s="173">
        <f t="shared" si="39"/>
        <v>0</v>
      </c>
      <c r="AI116" s="174">
        <f t="shared" si="60"/>
        <v>0</v>
      </c>
      <c r="AJ116" s="175">
        <f t="shared" si="61"/>
        <v>0</v>
      </c>
      <c r="AK116" s="176">
        <f t="shared" si="62"/>
        <v>0</v>
      </c>
      <c r="AL116" s="172">
        <f t="shared" si="48"/>
        <v>0</v>
      </c>
      <c r="AM116" s="169"/>
      <c r="AN116" s="174">
        <f t="shared" ref="AN116:AN135" si="76">IF(AC116&gt;0,$AJ$136*0.6,0)</f>
        <v>0</v>
      </c>
      <c r="AO116" s="176">
        <f t="shared" ref="AO116:AO135" si="77">IF(AC116&gt;0,$AK$136*0.6,0)</f>
        <v>0</v>
      </c>
      <c r="AP116" s="175">
        <f t="shared" ref="AP116:AP135" si="78">IF(AC116&gt;0,$AM$136*0.6,0)</f>
        <v>0</v>
      </c>
      <c r="AQ116" s="172">
        <f t="shared" si="50"/>
        <v>0</v>
      </c>
      <c r="AR116" s="173">
        <f t="shared" si="63"/>
        <v>0</v>
      </c>
      <c r="AS116" s="56">
        <f>'Ship Data Metric'!E117*0.03280839895</f>
        <v>0</v>
      </c>
      <c r="AT116" s="75"/>
      <c r="AU116" s="172">
        <f t="shared" si="64"/>
        <v>0</v>
      </c>
      <c r="AV116" s="173">
        <f t="shared" si="65"/>
        <v>0</v>
      </c>
      <c r="AW116" s="174">
        <f t="shared" si="52"/>
        <v>0</v>
      </c>
      <c r="AX116" s="175">
        <f t="shared" si="53"/>
        <v>0</v>
      </c>
      <c r="AY116" s="176">
        <f t="shared" si="66"/>
        <v>0</v>
      </c>
      <c r="AZ116" s="172">
        <f t="shared" si="54"/>
        <v>0</v>
      </c>
      <c r="BA116" s="173">
        <f t="shared" si="55"/>
        <v>0</v>
      </c>
    </row>
    <row r="117" ht="15.75" customHeight="1">
      <c r="Z117" s="5"/>
      <c r="AA117" s="75"/>
      <c r="AB117" s="76" t="s">
        <v>27</v>
      </c>
      <c r="AC117" s="56">
        <f>IF('Ship Data Imperial'!E118&gt;0,'Ship Data Imperial'!E118,AS117)</f>
        <v>0</v>
      </c>
      <c r="AD117" s="77"/>
      <c r="AE117" s="77"/>
      <c r="AF117" s="171" t="str">
        <f>'Ship Data Imperial'!I118</f>
        <v/>
      </c>
      <c r="AG117" s="172">
        <f>IF(AC117&gt;0,Masts!$C$13*0.8888,0)</f>
        <v>0</v>
      </c>
      <c r="AH117" s="173">
        <f t="shared" si="39"/>
        <v>0</v>
      </c>
      <c r="AI117" s="174">
        <f t="shared" si="60"/>
        <v>0</v>
      </c>
      <c r="AJ117" s="175">
        <f t="shared" si="61"/>
        <v>0</v>
      </c>
      <c r="AK117" s="176">
        <f t="shared" si="62"/>
        <v>0</v>
      </c>
      <c r="AL117" s="172">
        <f t="shared" si="48"/>
        <v>0</v>
      </c>
      <c r="AM117" s="169"/>
      <c r="AN117" s="174">
        <f t="shared" si="76"/>
        <v>0</v>
      </c>
      <c r="AO117" s="176">
        <f t="shared" si="77"/>
        <v>0</v>
      </c>
      <c r="AP117" s="175">
        <f t="shared" si="78"/>
        <v>0</v>
      </c>
      <c r="AQ117" s="172">
        <f t="shared" si="50"/>
        <v>0</v>
      </c>
      <c r="AR117" s="173">
        <f t="shared" si="63"/>
        <v>0</v>
      </c>
      <c r="AS117" s="56">
        <f>'Ship Data Metric'!E118*0.03280839895</f>
        <v>0</v>
      </c>
      <c r="AT117" s="75"/>
      <c r="AU117" s="172">
        <f t="shared" si="64"/>
        <v>0</v>
      </c>
      <c r="AV117" s="173">
        <f t="shared" si="65"/>
        <v>0</v>
      </c>
      <c r="AW117" s="174">
        <f t="shared" si="52"/>
        <v>0</v>
      </c>
      <c r="AX117" s="175">
        <f t="shared" si="53"/>
        <v>0</v>
      </c>
      <c r="AY117" s="176">
        <f t="shared" si="66"/>
        <v>0</v>
      </c>
      <c r="AZ117" s="172">
        <f t="shared" si="54"/>
        <v>0</v>
      </c>
      <c r="BA117" s="173">
        <f t="shared" si="55"/>
        <v>0</v>
      </c>
    </row>
    <row r="118" ht="15.75" customHeight="1">
      <c r="Z118" s="5"/>
      <c r="AA118" s="75"/>
      <c r="AB118" s="76" t="s">
        <v>28</v>
      </c>
      <c r="AC118" s="56">
        <f>IF('Ship Data Imperial'!E119&gt;0,'Ship Data Imperial'!E119,AS118)</f>
        <v>0</v>
      </c>
      <c r="AD118" s="77"/>
      <c r="AE118" s="77"/>
      <c r="AF118" s="171" t="str">
        <f>'Ship Data Imperial'!I119</f>
        <v/>
      </c>
      <c r="AG118" s="172">
        <f>IF(AC118&gt;0,Masts!$C$13*0.8888,0)</f>
        <v>0</v>
      </c>
      <c r="AH118" s="173">
        <f t="shared" si="39"/>
        <v>0</v>
      </c>
      <c r="AI118" s="174">
        <f t="shared" si="60"/>
        <v>0</v>
      </c>
      <c r="AJ118" s="175">
        <f t="shared" si="61"/>
        <v>0</v>
      </c>
      <c r="AK118" s="176">
        <f t="shared" si="62"/>
        <v>0</v>
      </c>
      <c r="AL118" s="172">
        <f t="shared" si="48"/>
        <v>0</v>
      </c>
      <c r="AM118" s="169"/>
      <c r="AN118" s="174">
        <f t="shared" si="76"/>
        <v>0</v>
      </c>
      <c r="AO118" s="176">
        <f t="shared" si="77"/>
        <v>0</v>
      </c>
      <c r="AP118" s="175">
        <f t="shared" si="78"/>
        <v>0</v>
      </c>
      <c r="AQ118" s="172">
        <f t="shared" si="50"/>
        <v>0</v>
      </c>
      <c r="AR118" s="173">
        <f t="shared" si="63"/>
        <v>0</v>
      </c>
      <c r="AS118" s="56">
        <f>'Ship Data Metric'!E119*0.03280839895</f>
        <v>0</v>
      </c>
      <c r="AT118" s="75"/>
      <c r="AU118" s="172">
        <f t="shared" si="64"/>
        <v>0</v>
      </c>
      <c r="AV118" s="173">
        <f t="shared" si="65"/>
        <v>0</v>
      </c>
      <c r="AW118" s="174">
        <f t="shared" si="52"/>
        <v>0</v>
      </c>
      <c r="AX118" s="175">
        <f t="shared" si="53"/>
        <v>0</v>
      </c>
      <c r="AY118" s="176">
        <f t="shared" si="66"/>
        <v>0</v>
      </c>
      <c r="AZ118" s="172">
        <f t="shared" si="54"/>
        <v>0</v>
      </c>
      <c r="BA118" s="173">
        <f t="shared" si="55"/>
        <v>0</v>
      </c>
    </row>
    <row r="119" ht="15.75" customHeight="1">
      <c r="Z119" s="5"/>
      <c r="AA119" s="75"/>
      <c r="AB119" s="76" t="s">
        <v>29</v>
      </c>
      <c r="AC119" s="56">
        <f>IF('Ship Data Imperial'!E120&gt;0,'Ship Data Imperial'!E120,AS119)</f>
        <v>0</v>
      </c>
      <c r="AD119" s="77"/>
      <c r="AE119" s="77"/>
      <c r="AF119" s="171" t="str">
        <f>'Ship Data Imperial'!I120</f>
        <v/>
      </c>
      <c r="AG119" s="172">
        <f>IF(AC119&gt;0,Masts!$C$13*0.8888,0)</f>
        <v>0</v>
      </c>
      <c r="AH119" s="173">
        <f t="shared" si="39"/>
        <v>0</v>
      </c>
      <c r="AI119" s="174">
        <f t="shared" si="60"/>
        <v>0</v>
      </c>
      <c r="AJ119" s="175">
        <f t="shared" si="61"/>
        <v>0</v>
      </c>
      <c r="AK119" s="176">
        <f t="shared" si="62"/>
        <v>0</v>
      </c>
      <c r="AL119" s="172">
        <f t="shared" si="48"/>
        <v>0</v>
      </c>
      <c r="AM119" s="169"/>
      <c r="AN119" s="174">
        <f t="shared" si="76"/>
        <v>0</v>
      </c>
      <c r="AO119" s="176">
        <f t="shared" si="77"/>
        <v>0</v>
      </c>
      <c r="AP119" s="175">
        <f t="shared" si="78"/>
        <v>0</v>
      </c>
      <c r="AQ119" s="172">
        <f t="shared" si="50"/>
        <v>0</v>
      </c>
      <c r="AR119" s="173">
        <f t="shared" si="63"/>
        <v>0</v>
      </c>
      <c r="AS119" s="56">
        <f>'Ship Data Metric'!E120*0.03280839895</f>
        <v>0</v>
      </c>
      <c r="AT119" s="75"/>
      <c r="AU119" s="172">
        <f t="shared" si="64"/>
        <v>0</v>
      </c>
      <c r="AV119" s="173">
        <f t="shared" si="65"/>
        <v>0</v>
      </c>
      <c r="AW119" s="174">
        <f t="shared" si="52"/>
        <v>0</v>
      </c>
      <c r="AX119" s="175">
        <f t="shared" si="53"/>
        <v>0</v>
      </c>
      <c r="AY119" s="176">
        <f t="shared" si="66"/>
        <v>0</v>
      </c>
      <c r="AZ119" s="172">
        <f t="shared" si="54"/>
        <v>0</v>
      </c>
      <c r="BA119" s="173">
        <f t="shared" si="55"/>
        <v>0</v>
      </c>
    </row>
    <row r="120" ht="15.75" customHeight="1">
      <c r="Z120" s="5"/>
      <c r="AA120" s="75"/>
      <c r="AB120" s="158" t="s">
        <v>54</v>
      </c>
      <c r="AC120" s="56">
        <f>IF('Ship Data Imperial'!E121&gt;0,'Ship Data Imperial'!E121,AS120)</f>
        <v>0</v>
      </c>
      <c r="AD120" s="77"/>
      <c r="AE120" s="77"/>
      <c r="AF120" s="171" t="str">
        <f>'Ship Data Imperial'!I121</f>
        <v/>
      </c>
      <c r="AG120" s="172">
        <f>IF(AC120&gt;0,Masts!$C$13*0.8888,0)</f>
        <v>0</v>
      </c>
      <c r="AH120" s="173">
        <f t="shared" si="39"/>
        <v>0</v>
      </c>
      <c r="AI120" s="174">
        <f t="shared" si="60"/>
        <v>0</v>
      </c>
      <c r="AJ120" s="175">
        <f t="shared" si="61"/>
        <v>0</v>
      </c>
      <c r="AK120" s="176">
        <f t="shared" si="62"/>
        <v>0</v>
      </c>
      <c r="AL120" s="172">
        <f t="shared" si="48"/>
        <v>0</v>
      </c>
      <c r="AM120" s="169"/>
      <c r="AN120" s="174">
        <f t="shared" si="76"/>
        <v>0</v>
      </c>
      <c r="AO120" s="176">
        <f t="shared" si="77"/>
        <v>0</v>
      </c>
      <c r="AP120" s="175">
        <f t="shared" si="78"/>
        <v>0</v>
      </c>
      <c r="AQ120" s="172">
        <f t="shared" si="50"/>
        <v>0</v>
      </c>
      <c r="AR120" s="173">
        <f t="shared" si="63"/>
        <v>0</v>
      </c>
      <c r="AS120" s="56">
        <f>'Ship Data Metric'!E121*0.03280839895</f>
        <v>0</v>
      </c>
      <c r="AT120" s="75"/>
      <c r="AU120" s="172">
        <f t="shared" si="64"/>
        <v>0</v>
      </c>
      <c r="AV120" s="173">
        <f t="shared" si="65"/>
        <v>0</v>
      </c>
      <c r="AW120" s="174">
        <f t="shared" si="52"/>
        <v>0</v>
      </c>
      <c r="AX120" s="175">
        <f t="shared" si="53"/>
        <v>0</v>
      </c>
      <c r="AY120" s="176">
        <f t="shared" si="66"/>
        <v>0</v>
      </c>
      <c r="AZ120" s="172">
        <f t="shared" si="54"/>
        <v>0</v>
      </c>
      <c r="BA120" s="173">
        <f t="shared" si="55"/>
        <v>0</v>
      </c>
    </row>
    <row r="121" ht="15.75" customHeight="1">
      <c r="Z121" s="5"/>
      <c r="AA121" s="75" t="s">
        <v>115</v>
      </c>
      <c r="AB121" s="158" t="s">
        <v>56</v>
      </c>
      <c r="AC121" s="56">
        <f>IF('Ship Data Imperial'!E122&gt;0,'Ship Data Imperial'!E122,AS121)</f>
        <v>0</v>
      </c>
      <c r="AD121" s="77"/>
      <c r="AE121" s="77"/>
      <c r="AF121" s="171" t="str">
        <f>'Ship Data Imperial'!I122</f>
        <v/>
      </c>
      <c r="AG121" s="172">
        <f>IF(AC121&gt;0,Masts!$C$13*0.8888,0)</f>
        <v>0</v>
      </c>
      <c r="AH121" s="173">
        <f t="shared" si="39"/>
        <v>0</v>
      </c>
      <c r="AI121" s="174">
        <f t="shared" si="60"/>
        <v>0</v>
      </c>
      <c r="AJ121" s="175">
        <f t="shared" si="61"/>
        <v>0</v>
      </c>
      <c r="AK121" s="176">
        <f t="shared" si="62"/>
        <v>0</v>
      </c>
      <c r="AL121" s="172">
        <f t="shared" si="48"/>
        <v>0</v>
      </c>
      <c r="AM121" s="169"/>
      <c r="AN121" s="174">
        <f t="shared" si="76"/>
        <v>0</v>
      </c>
      <c r="AO121" s="176">
        <f t="shared" si="77"/>
        <v>0</v>
      </c>
      <c r="AP121" s="175">
        <f t="shared" si="78"/>
        <v>0</v>
      </c>
      <c r="AQ121" s="172">
        <f t="shared" si="50"/>
        <v>0</v>
      </c>
      <c r="AR121" s="173">
        <f t="shared" si="63"/>
        <v>0</v>
      </c>
      <c r="AS121" s="56">
        <f>'Ship Data Metric'!E122*0.03280839895</f>
        <v>0</v>
      </c>
      <c r="AT121" s="75" t="s">
        <v>115</v>
      </c>
      <c r="AU121" s="172">
        <f t="shared" si="64"/>
        <v>0</v>
      </c>
      <c r="AV121" s="173">
        <f t="shared" si="65"/>
        <v>0</v>
      </c>
      <c r="AW121" s="174">
        <f t="shared" si="52"/>
        <v>0</v>
      </c>
      <c r="AX121" s="175">
        <f t="shared" si="53"/>
        <v>0</v>
      </c>
      <c r="AY121" s="176">
        <f t="shared" si="66"/>
        <v>0</v>
      </c>
      <c r="AZ121" s="172">
        <f t="shared" si="54"/>
        <v>0</v>
      </c>
      <c r="BA121" s="173">
        <f t="shared" si="55"/>
        <v>0</v>
      </c>
    </row>
    <row r="122" ht="15.75" customHeight="1">
      <c r="Z122" s="5"/>
      <c r="AA122" s="75" t="s">
        <v>57</v>
      </c>
      <c r="AB122" s="76" t="s">
        <v>24</v>
      </c>
      <c r="AC122" s="56">
        <f>IF('Ship Data Imperial'!E123&gt;0,'Ship Data Imperial'!E123,AS122)</f>
        <v>0</v>
      </c>
      <c r="AD122" s="77"/>
      <c r="AE122" s="77"/>
      <c r="AF122" s="171" t="str">
        <f>'Ship Data Imperial'!I123</f>
        <v/>
      </c>
      <c r="AG122" s="172">
        <f>IF(AC122&gt;0,Masts!$C$13*0.8888,0)</f>
        <v>0</v>
      </c>
      <c r="AH122" s="173">
        <f t="shared" si="39"/>
        <v>0</v>
      </c>
      <c r="AI122" s="174">
        <f t="shared" si="60"/>
        <v>0</v>
      </c>
      <c r="AJ122" s="175">
        <f t="shared" si="61"/>
        <v>0</v>
      </c>
      <c r="AK122" s="176">
        <f t="shared" si="62"/>
        <v>0</v>
      </c>
      <c r="AL122" s="172">
        <f t="shared" si="48"/>
        <v>0</v>
      </c>
      <c r="AM122" s="169"/>
      <c r="AN122" s="174">
        <f t="shared" si="76"/>
        <v>0</v>
      </c>
      <c r="AO122" s="176">
        <f t="shared" si="77"/>
        <v>0</v>
      </c>
      <c r="AP122" s="175">
        <f t="shared" si="78"/>
        <v>0</v>
      </c>
      <c r="AQ122" s="172">
        <f t="shared" si="50"/>
        <v>0</v>
      </c>
      <c r="AR122" s="173">
        <f t="shared" si="63"/>
        <v>0</v>
      </c>
      <c r="AS122" s="56">
        <f>'Ship Data Metric'!E123*0.03280839895</f>
        <v>0</v>
      </c>
      <c r="AT122" s="75" t="s">
        <v>57</v>
      </c>
      <c r="AU122" s="172">
        <f t="shared" si="64"/>
        <v>0</v>
      </c>
      <c r="AV122" s="173">
        <f t="shared" si="65"/>
        <v>0</v>
      </c>
      <c r="AW122" s="174">
        <f t="shared" si="52"/>
        <v>0</v>
      </c>
      <c r="AX122" s="175">
        <f t="shared" si="53"/>
        <v>0</v>
      </c>
      <c r="AY122" s="176">
        <f t="shared" si="66"/>
        <v>0</v>
      </c>
      <c r="AZ122" s="172">
        <f t="shared" si="54"/>
        <v>0</v>
      </c>
      <c r="BA122" s="173">
        <f t="shared" si="55"/>
        <v>0</v>
      </c>
    </row>
    <row r="123" ht="15.75" customHeight="1">
      <c r="Z123" s="5"/>
      <c r="AA123" s="75"/>
      <c r="AB123" s="76" t="s">
        <v>25</v>
      </c>
      <c r="AC123" s="56">
        <f>IF('Ship Data Imperial'!E124&gt;0,'Ship Data Imperial'!E124,AS123)</f>
        <v>0</v>
      </c>
      <c r="AD123" s="77"/>
      <c r="AE123" s="77"/>
      <c r="AF123" s="171" t="str">
        <f>'Ship Data Imperial'!I124</f>
        <v/>
      </c>
      <c r="AG123" s="172">
        <f>IF(AC123&gt;0,Masts!$C$13*0.8888,0)</f>
        <v>0</v>
      </c>
      <c r="AH123" s="173">
        <f t="shared" si="39"/>
        <v>0</v>
      </c>
      <c r="AI123" s="174">
        <f t="shared" si="60"/>
        <v>0</v>
      </c>
      <c r="AJ123" s="175">
        <f t="shared" si="61"/>
        <v>0</v>
      </c>
      <c r="AK123" s="176">
        <f t="shared" si="62"/>
        <v>0</v>
      </c>
      <c r="AL123" s="172">
        <f t="shared" si="48"/>
        <v>0</v>
      </c>
      <c r="AM123" s="169"/>
      <c r="AN123" s="174">
        <f t="shared" si="76"/>
        <v>0</v>
      </c>
      <c r="AO123" s="176">
        <f t="shared" si="77"/>
        <v>0</v>
      </c>
      <c r="AP123" s="175">
        <f t="shared" si="78"/>
        <v>0</v>
      </c>
      <c r="AQ123" s="172">
        <f t="shared" si="50"/>
        <v>0</v>
      </c>
      <c r="AR123" s="173">
        <f t="shared" si="63"/>
        <v>0</v>
      </c>
      <c r="AS123" s="56">
        <f>'Ship Data Metric'!E124*0.03280839895</f>
        <v>0</v>
      </c>
      <c r="AT123" s="75"/>
      <c r="AU123" s="172">
        <f t="shared" si="64"/>
        <v>0</v>
      </c>
      <c r="AV123" s="173">
        <f t="shared" si="65"/>
        <v>0</v>
      </c>
      <c r="AW123" s="174">
        <f t="shared" si="52"/>
        <v>0</v>
      </c>
      <c r="AX123" s="175">
        <f t="shared" si="53"/>
        <v>0</v>
      </c>
      <c r="AY123" s="176">
        <f t="shared" si="66"/>
        <v>0</v>
      </c>
      <c r="AZ123" s="172">
        <f t="shared" si="54"/>
        <v>0</v>
      </c>
      <c r="BA123" s="173">
        <f t="shared" si="55"/>
        <v>0</v>
      </c>
    </row>
    <row r="124" ht="15.75" customHeight="1">
      <c r="Z124" s="5"/>
      <c r="AA124" s="75"/>
      <c r="AB124" s="76" t="s">
        <v>26</v>
      </c>
      <c r="AC124" s="56">
        <f>IF('Ship Data Imperial'!E125&gt;0,'Ship Data Imperial'!E125,AS124)</f>
        <v>0</v>
      </c>
      <c r="AD124" s="77"/>
      <c r="AE124" s="77"/>
      <c r="AF124" s="171" t="str">
        <f>'Ship Data Imperial'!I125</f>
        <v/>
      </c>
      <c r="AG124" s="172">
        <f>IF(AC124&gt;0,Masts!$C$13*0.8888,0)</f>
        <v>0</v>
      </c>
      <c r="AH124" s="173">
        <f t="shared" si="39"/>
        <v>0</v>
      </c>
      <c r="AI124" s="174">
        <f t="shared" si="60"/>
        <v>0</v>
      </c>
      <c r="AJ124" s="175">
        <f t="shared" si="61"/>
        <v>0</v>
      </c>
      <c r="AK124" s="176">
        <f t="shared" si="62"/>
        <v>0</v>
      </c>
      <c r="AL124" s="172">
        <f t="shared" si="48"/>
        <v>0</v>
      </c>
      <c r="AM124" s="169"/>
      <c r="AN124" s="174">
        <f t="shared" si="76"/>
        <v>0</v>
      </c>
      <c r="AO124" s="176">
        <f t="shared" si="77"/>
        <v>0</v>
      </c>
      <c r="AP124" s="175">
        <f t="shared" si="78"/>
        <v>0</v>
      </c>
      <c r="AQ124" s="172">
        <f t="shared" si="50"/>
        <v>0</v>
      </c>
      <c r="AR124" s="173">
        <f t="shared" si="63"/>
        <v>0</v>
      </c>
      <c r="AS124" s="56">
        <f>'Ship Data Metric'!E125*0.03280839895</f>
        <v>0</v>
      </c>
      <c r="AT124" s="75"/>
      <c r="AU124" s="172">
        <f t="shared" si="64"/>
        <v>0</v>
      </c>
      <c r="AV124" s="173">
        <f t="shared" si="65"/>
        <v>0</v>
      </c>
      <c r="AW124" s="174">
        <f t="shared" si="52"/>
        <v>0</v>
      </c>
      <c r="AX124" s="175">
        <f t="shared" si="53"/>
        <v>0</v>
      </c>
      <c r="AY124" s="176">
        <f t="shared" si="66"/>
        <v>0</v>
      </c>
      <c r="AZ124" s="172">
        <f t="shared" si="54"/>
        <v>0</v>
      </c>
      <c r="BA124" s="173">
        <f t="shared" si="55"/>
        <v>0</v>
      </c>
    </row>
    <row r="125" ht="15.75" customHeight="1">
      <c r="Z125" s="5"/>
      <c r="AA125" s="75"/>
      <c r="AB125" s="76" t="s">
        <v>27</v>
      </c>
      <c r="AC125" s="56">
        <f>IF('Ship Data Imperial'!E126&gt;0,'Ship Data Imperial'!E126,AS125)</f>
        <v>0</v>
      </c>
      <c r="AD125" s="77"/>
      <c r="AE125" s="77"/>
      <c r="AF125" s="171" t="str">
        <f>'Ship Data Imperial'!I126</f>
        <v/>
      </c>
      <c r="AG125" s="172">
        <f>IF(AC125&gt;0,Masts!$C$13*0.8888,0)</f>
        <v>0</v>
      </c>
      <c r="AH125" s="173">
        <f t="shared" si="39"/>
        <v>0</v>
      </c>
      <c r="AI125" s="174">
        <f t="shared" si="60"/>
        <v>0</v>
      </c>
      <c r="AJ125" s="175">
        <f t="shared" si="61"/>
        <v>0</v>
      </c>
      <c r="AK125" s="176">
        <f t="shared" si="62"/>
        <v>0</v>
      </c>
      <c r="AL125" s="172">
        <f t="shared" si="48"/>
        <v>0</v>
      </c>
      <c r="AM125" s="169"/>
      <c r="AN125" s="174">
        <f t="shared" si="76"/>
        <v>0</v>
      </c>
      <c r="AO125" s="176">
        <f t="shared" si="77"/>
        <v>0</v>
      </c>
      <c r="AP125" s="175">
        <f t="shared" si="78"/>
        <v>0</v>
      </c>
      <c r="AQ125" s="172">
        <f t="shared" si="50"/>
        <v>0</v>
      </c>
      <c r="AR125" s="173">
        <f t="shared" si="63"/>
        <v>0</v>
      </c>
      <c r="AS125" s="56">
        <f>'Ship Data Metric'!E126*0.03280839895</f>
        <v>0</v>
      </c>
      <c r="AT125" s="75"/>
      <c r="AU125" s="172">
        <f t="shared" si="64"/>
        <v>0</v>
      </c>
      <c r="AV125" s="173">
        <f t="shared" si="65"/>
        <v>0</v>
      </c>
      <c r="AW125" s="174">
        <f t="shared" si="52"/>
        <v>0</v>
      </c>
      <c r="AX125" s="175">
        <f t="shared" si="53"/>
        <v>0</v>
      </c>
      <c r="AY125" s="176">
        <f t="shared" si="66"/>
        <v>0</v>
      </c>
      <c r="AZ125" s="172">
        <f t="shared" si="54"/>
        <v>0</v>
      </c>
      <c r="BA125" s="173">
        <f t="shared" si="55"/>
        <v>0</v>
      </c>
    </row>
    <row r="126" ht="15.75" customHeight="1">
      <c r="Z126" s="5"/>
      <c r="AA126" s="75"/>
      <c r="AB126" s="76" t="s">
        <v>28</v>
      </c>
      <c r="AC126" s="56">
        <f>IF('Ship Data Imperial'!E127&gt;0,'Ship Data Imperial'!E127,AS126)</f>
        <v>0</v>
      </c>
      <c r="AD126" s="77"/>
      <c r="AE126" s="77"/>
      <c r="AF126" s="171" t="str">
        <f>'Ship Data Imperial'!I127</f>
        <v/>
      </c>
      <c r="AG126" s="172">
        <f>IF(AC126&gt;0,Masts!$C$13*0.8888,0)</f>
        <v>0</v>
      </c>
      <c r="AH126" s="173">
        <f t="shared" si="39"/>
        <v>0</v>
      </c>
      <c r="AI126" s="174">
        <f t="shared" si="60"/>
        <v>0</v>
      </c>
      <c r="AJ126" s="175">
        <f t="shared" si="61"/>
        <v>0</v>
      </c>
      <c r="AK126" s="176">
        <f t="shared" si="62"/>
        <v>0</v>
      </c>
      <c r="AL126" s="172">
        <f t="shared" si="48"/>
        <v>0</v>
      </c>
      <c r="AM126" s="169"/>
      <c r="AN126" s="174">
        <f t="shared" si="76"/>
        <v>0</v>
      </c>
      <c r="AO126" s="176">
        <f t="shared" si="77"/>
        <v>0</v>
      </c>
      <c r="AP126" s="175">
        <f t="shared" si="78"/>
        <v>0</v>
      </c>
      <c r="AQ126" s="172">
        <f t="shared" si="50"/>
        <v>0</v>
      </c>
      <c r="AR126" s="173">
        <f t="shared" si="63"/>
        <v>0</v>
      </c>
      <c r="AS126" s="56">
        <f>'Ship Data Metric'!E127*0.03280839895</f>
        <v>0</v>
      </c>
      <c r="AT126" s="75"/>
      <c r="AU126" s="172">
        <f t="shared" si="64"/>
        <v>0</v>
      </c>
      <c r="AV126" s="173">
        <f t="shared" si="65"/>
        <v>0</v>
      </c>
      <c r="AW126" s="174">
        <f t="shared" si="52"/>
        <v>0</v>
      </c>
      <c r="AX126" s="175">
        <f t="shared" si="53"/>
        <v>0</v>
      </c>
      <c r="AY126" s="176">
        <f t="shared" si="66"/>
        <v>0</v>
      </c>
      <c r="AZ126" s="172">
        <f t="shared" si="54"/>
        <v>0</v>
      </c>
      <c r="BA126" s="173">
        <f t="shared" si="55"/>
        <v>0</v>
      </c>
    </row>
    <row r="127" ht="15.75" customHeight="1">
      <c r="Z127" s="5"/>
      <c r="AA127" s="75"/>
      <c r="AB127" s="76" t="s">
        <v>29</v>
      </c>
      <c r="AC127" s="56">
        <f>IF('Ship Data Imperial'!E128&gt;0,'Ship Data Imperial'!E128,AS127)</f>
        <v>0</v>
      </c>
      <c r="AD127" s="77"/>
      <c r="AE127" s="77"/>
      <c r="AF127" s="171" t="str">
        <f>'Ship Data Imperial'!I128</f>
        <v/>
      </c>
      <c r="AG127" s="172">
        <f>IF(AC127&gt;0,Masts!$C$13*0.8888,0)</f>
        <v>0</v>
      </c>
      <c r="AH127" s="173">
        <f t="shared" si="39"/>
        <v>0</v>
      </c>
      <c r="AI127" s="174">
        <f t="shared" si="60"/>
        <v>0</v>
      </c>
      <c r="AJ127" s="175">
        <f t="shared" si="61"/>
        <v>0</v>
      </c>
      <c r="AK127" s="176">
        <f t="shared" si="62"/>
        <v>0</v>
      </c>
      <c r="AL127" s="172">
        <f t="shared" si="48"/>
        <v>0</v>
      </c>
      <c r="AM127" s="169"/>
      <c r="AN127" s="174">
        <f t="shared" si="76"/>
        <v>0</v>
      </c>
      <c r="AO127" s="176">
        <f t="shared" si="77"/>
        <v>0</v>
      </c>
      <c r="AP127" s="175">
        <f t="shared" si="78"/>
        <v>0</v>
      </c>
      <c r="AQ127" s="172">
        <f t="shared" si="50"/>
        <v>0</v>
      </c>
      <c r="AR127" s="173">
        <f t="shared" si="63"/>
        <v>0</v>
      </c>
      <c r="AS127" s="56">
        <f>'Ship Data Metric'!E128*0.03280839895</f>
        <v>0</v>
      </c>
      <c r="AT127" s="75"/>
      <c r="AU127" s="172">
        <f t="shared" si="64"/>
        <v>0</v>
      </c>
      <c r="AV127" s="173">
        <f t="shared" si="65"/>
        <v>0</v>
      </c>
      <c r="AW127" s="174">
        <f t="shared" si="52"/>
        <v>0</v>
      </c>
      <c r="AX127" s="175">
        <f t="shared" si="53"/>
        <v>0</v>
      </c>
      <c r="AY127" s="176">
        <f t="shared" si="66"/>
        <v>0</v>
      </c>
      <c r="AZ127" s="172">
        <f t="shared" si="54"/>
        <v>0</v>
      </c>
      <c r="BA127" s="173">
        <f t="shared" si="55"/>
        <v>0</v>
      </c>
    </row>
    <row r="128" ht="15.75" customHeight="1">
      <c r="Z128" s="5"/>
      <c r="AA128" s="75"/>
      <c r="AB128" s="158" t="s">
        <v>51</v>
      </c>
      <c r="AC128" s="56">
        <f>IF('Ship Data Imperial'!E129&gt;0,'Ship Data Imperial'!E129,AS128)</f>
        <v>0</v>
      </c>
      <c r="AD128" s="77"/>
      <c r="AE128" s="77"/>
      <c r="AF128" s="171" t="str">
        <f>'Ship Data Imperial'!I129</f>
        <v/>
      </c>
      <c r="AG128" s="172">
        <f>IF(AC128&gt;0,Masts!$C$13*0.8888,0)</f>
        <v>0</v>
      </c>
      <c r="AH128" s="173">
        <f t="shared" si="39"/>
        <v>0</v>
      </c>
      <c r="AI128" s="174">
        <f t="shared" si="60"/>
        <v>0</v>
      </c>
      <c r="AJ128" s="175">
        <f t="shared" si="61"/>
        <v>0</v>
      </c>
      <c r="AK128" s="176">
        <f t="shared" si="62"/>
        <v>0</v>
      </c>
      <c r="AL128" s="172">
        <f t="shared" si="48"/>
        <v>0</v>
      </c>
      <c r="AM128" s="169"/>
      <c r="AN128" s="174">
        <f t="shared" si="76"/>
        <v>0</v>
      </c>
      <c r="AO128" s="176">
        <f t="shared" si="77"/>
        <v>0</v>
      </c>
      <c r="AP128" s="175">
        <f t="shared" si="78"/>
        <v>0</v>
      </c>
      <c r="AQ128" s="172">
        <f t="shared" si="50"/>
        <v>0</v>
      </c>
      <c r="AR128" s="173">
        <f t="shared" si="63"/>
        <v>0</v>
      </c>
      <c r="AS128" s="56">
        <f>'Ship Data Metric'!E129*0.03280839895</f>
        <v>0</v>
      </c>
      <c r="AT128" s="75"/>
      <c r="AU128" s="172">
        <f t="shared" si="64"/>
        <v>0</v>
      </c>
      <c r="AV128" s="173">
        <f t="shared" si="65"/>
        <v>0</v>
      </c>
      <c r="AW128" s="174">
        <f t="shared" si="52"/>
        <v>0</v>
      </c>
      <c r="AX128" s="175">
        <f t="shared" si="53"/>
        <v>0</v>
      </c>
      <c r="AY128" s="176">
        <f t="shared" si="66"/>
        <v>0</v>
      </c>
      <c r="AZ128" s="172">
        <f t="shared" si="54"/>
        <v>0</v>
      </c>
      <c r="BA128" s="173">
        <f t="shared" si="55"/>
        <v>0</v>
      </c>
    </row>
    <row r="129" ht="15.75" customHeight="1">
      <c r="Z129" s="5"/>
      <c r="AA129" s="75" t="s">
        <v>58</v>
      </c>
      <c r="AB129" s="76" t="s">
        <v>24</v>
      </c>
      <c r="AC129" s="56">
        <f>IF('Ship Data Imperial'!E130&gt;0,'Ship Data Imperial'!E130,AS129)</f>
        <v>0</v>
      </c>
      <c r="AD129" s="77"/>
      <c r="AE129" s="77"/>
      <c r="AF129" s="171" t="str">
        <f>'Ship Data Imperial'!I130</f>
        <v/>
      </c>
      <c r="AG129" s="172">
        <f>IF(AC129&gt;0,Masts!$C$13*0.8888,0)</f>
        <v>0</v>
      </c>
      <c r="AH129" s="173">
        <f t="shared" si="39"/>
        <v>0</v>
      </c>
      <c r="AI129" s="174">
        <f t="shared" si="60"/>
        <v>0</v>
      </c>
      <c r="AJ129" s="175">
        <f t="shared" si="61"/>
        <v>0</v>
      </c>
      <c r="AK129" s="176">
        <f t="shared" si="62"/>
        <v>0</v>
      </c>
      <c r="AL129" s="172">
        <f t="shared" si="48"/>
        <v>0</v>
      </c>
      <c r="AM129" s="169"/>
      <c r="AN129" s="174">
        <f t="shared" si="76"/>
        <v>0</v>
      </c>
      <c r="AO129" s="176">
        <f t="shared" si="77"/>
        <v>0</v>
      </c>
      <c r="AP129" s="175">
        <f t="shared" si="78"/>
        <v>0</v>
      </c>
      <c r="AQ129" s="172">
        <f t="shared" si="50"/>
        <v>0</v>
      </c>
      <c r="AR129" s="173">
        <f t="shared" si="63"/>
        <v>0</v>
      </c>
      <c r="AS129" s="56">
        <f>'Ship Data Metric'!E130*0.03280839895</f>
        <v>0</v>
      </c>
      <c r="AT129" s="75" t="s">
        <v>58</v>
      </c>
      <c r="AU129" s="172">
        <f t="shared" si="64"/>
        <v>0</v>
      </c>
      <c r="AV129" s="173">
        <f t="shared" si="65"/>
        <v>0</v>
      </c>
      <c r="AW129" s="174">
        <f t="shared" si="52"/>
        <v>0</v>
      </c>
      <c r="AX129" s="175">
        <f t="shared" si="53"/>
        <v>0</v>
      </c>
      <c r="AY129" s="176">
        <f t="shared" si="66"/>
        <v>0</v>
      </c>
      <c r="AZ129" s="172">
        <f t="shared" si="54"/>
        <v>0</v>
      </c>
      <c r="BA129" s="173">
        <f t="shared" si="55"/>
        <v>0</v>
      </c>
    </row>
    <row r="130" ht="15.75" customHeight="1">
      <c r="Z130" s="5"/>
      <c r="AA130" s="75"/>
      <c r="AB130" s="76" t="s">
        <v>25</v>
      </c>
      <c r="AC130" s="56">
        <f>IF('Ship Data Imperial'!E131&gt;0,'Ship Data Imperial'!E131,AS130)</f>
        <v>0</v>
      </c>
      <c r="AD130" s="77"/>
      <c r="AE130" s="77"/>
      <c r="AF130" s="171" t="str">
        <f>'Ship Data Imperial'!I131</f>
        <v/>
      </c>
      <c r="AG130" s="172">
        <f>IF(AC130&gt;0,Masts!$C$13*0.8888,0)</f>
        <v>0</v>
      </c>
      <c r="AH130" s="173">
        <f t="shared" si="39"/>
        <v>0</v>
      </c>
      <c r="AI130" s="174">
        <f t="shared" si="60"/>
        <v>0</v>
      </c>
      <c r="AJ130" s="175">
        <f t="shared" si="61"/>
        <v>0</v>
      </c>
      <c r="AK130" s="176">
        <f t="shared" si="62"/>
        <v>0</v>
      </c>
      <c r="AL130" s="172">
        <f t="shared" si="48"/>
        <v>0</v>
      </c>
      <c r="AM130" s="169"/>
      <c r="AN130" s="174">
        <f t="shared" si="76"/>
        <v>0</v>
      </c>
      <c r="AO130" s="176">
        <f t="shared" si="77"/>
        <v>0</v>
      </c>
      <c r="AP130" s="175">
        <f t="shared" si="78"/>
        <v>0</v>
      </c>
      <c r="AQ130" s="172">
        <f t="shared" si="50"/>
        <v>0</v>
      </c>
      <c r="AR130" s="173">
        <f t="shared" si="63"/>
        <v>0</v>
      </c>
      <c r="AS130" s="56">
        <f>'Ship Data Metric'!E131*0.03280839895</f>
        <v>0</v>
      </c>
      <c r="AT130" s="75"/>
      <c r="AU130" s="172">
        <f t="shared" si="64"/>
        <v>0</v>
      </c>
      <c r="AV130" s="173">
        <f t="shared" si="65"/>
        <v>0</v>
      </c>
      <c r="AW130" s="174">
        <f t="shared" si="52"/>
        <v>0</v>
      </c>
      <c r="AX130" s="175">
        <f t="shared" si="53"/>
        <v>0</v>
      </c>
      <c r="AY130" s="176">
        <f t="shared" si="66"/>
        <v>0</v>
      </c>
      <c r="AZ130" s="172">
        <f t="shared" si="54"/>
        <v>0</v>
      </c>
      <c r="BA130" s="173">
        <f t="shared" si="55"/>
        <v>0</v>
      </c>
    </row>
    <row r="131" ht="15.75" customHeight="1">
      <c r="Z131" s="5"/>
      <c r="AA131" s="75"/>
      <c r="AB131" s="76" t="s">
        <v>26</v>
      </c>
      <c r="AC131" s="56">
        <f>IF('Ship Data Imperial'!E132&gt;0,'Ship Data Imperial'!E132,AS131)</f>
        <v>0</v>
      </c>
      <c r="AD131" s="77"/>
      <c r="AE131" s="77"/>
      <c r="AF131" s="171" t="str">
        <f>'Ship Data Imperial'!I132</f>
        <v/>
      </c>
      <c r="AG131" s="172">
        <f>IF(AC131&gt;0,Masts!$C$13*0.8888,0)</f>
        <v>0</v>
      </c>
      <c r="AH131" s="173">
        <f t="shared" si="39"/>
        <v>0</v>
      </c>
      <c r="AI131" s="174">
        <f t="shared" si="60"/>
        <v>0</v>
      </c>
      <c r="AJ131" s="175">
        <f t="shared" si="61"/>
        <v>0</v>
      </c>
      <c r="AK131" s="176">
        <f t="shared" si="62"/>
        <v>0</v>
      </c>
      <c r="AL131" s="172">
        <f t="shared" si="48"/>
        <v>0</v>
      </c>
      <c r="AM131" s="169"/>
      <c r="AN131" s="174">
        <f t="shared" si="76"/>
        <v>0</v>
      </c>
      <c r="AO131" s="176">
        <f t="shared" si="77"/>
        <v>0</v>
      </c>
      <c r="AP131" s="175">
        <f t="shared" si="78"/>
        <v>0</v>
      </c>
      <c r="AQ131" s="172">
        <f t="shared" si="50"/>
        <v>0</v>
      </c>
      <c r="AR131" s="173">
        <f t="shared" si="63"/>
        <v>0</v>
      </c>
      <c r="AS131" s="56">
        <f>'Ship Data Metric'!E132*0.03280839895</f>
        <v>0</v>
      </c>
      <c r="AT131" s="75"/>
      <c r="AU131" s="172">
        <f t="shared" si="64"/>
        <v>0</v>
      </c>
      <c r="AV131" s="173">
        <f t="shared" si="65"/>
        <v>0</v>
      </c>
      <c r="AW131" s="174">
        <f t="shared" si="52"/>
        <v>0</v>
      </c>
      <c r="AX131" s="175">
        <f t="shared" si="53"/>
        <v>0</v>
      </c>
      <c r="AY131" s="176">
        <f t="shared" si="66"/>
        <v>0</v>
      </c>
      <c r="AZ131" s="172">
        <f t="shared" si="54"/>
        <v>0</v>
      </c>
      <c r="BA131" s="173">
        <f t="shared" si="55"/>
        <v>0</v>
      </c>
    </row>
    <row r="132" ht="15.75" customHeight="1">
      <c r="Z132" s="5"/>
      <c r="AA132" s="75"/>
      <c r="AB132" s="76" t="s">
        <v>27</v>
      </c>
      <c r="AC132" s="56">
        <f>IF('Ship Data Imperial'!E133&gt;0,'Ship Data Imperial'!E133,AS132)</f>
        <v>0</v>
      </c>
      <c r="AD132" s="77"/>
      <c r="AE132" s="77"/>
      <c r="AF132" s="171" t="str">
        <f>'Ship Data Imperial'!I133</f>
        <v/>
      </c>
      <c r="AG132" s="172">
        <f>IF(AC132&gt;0,Masts!$C$13*0.8888,0)</f>
        <v>0</v>
      </c>
      <c r="AH132" s="173">
        <f t="shared" si="39"/>
        <v>0</v>
      </c>
      <c r="AI132" s="174">
        <f t="shared" si="60"/>
        <v>0</v>
      </c>
      <c r="AJ132" s="175">
        <f t="shared" si="61"/>
        <v>0</v>
      </c>
      <c r="AK132" s="176">
        <f t="shared" si="62"/>
        <v>0</v>
      </c>
      <c r="AL132" s="172">
        <f t="shared" si="48"/>
        <v>0</v>
      </c>
      <c r="AM132" s="169"/>
      <c r="AN132" s="174">
        <f t="shared" si="76"/>
        <v>0</v>
      </c>
      <c r="AO132" s="176">
        <f t="shared" si="77"/>
        <v>0</v>
      </c>
      <c r="AP132" s="175">
        <f t="shared" si="78"/>
        <v>0</v>
      </c>
      <c r="AQ132" s="172">
        <f t="shared" si="50"/>
        <v>0</v>
      </c>
      <c r="AR132" s="173">
        <f t="shared" si="63"/>
        <v>0</v>
      </c>
      <c r="AS132" s="56">
        <f>'Ship Data Metric'!E133*0.03280839895</f>
        <v>0</v>
      </c>
      <c r="AT132" s="75"/>
      <c r="AU132" s="172">
        <f t="shared" si="64"/>
        <v>0</v>
      </c>
      <c r="AV132" s="173">
        <f t="shared" si="65"/>
        <v>0</v>
      </c>
      <c r="AW132" s="174">
        <f t="shared" si="52"/>
        <v>0</v>
      </c>
      <c r="AX132" s="175">
        <f t="shared" si="53"/>
        <v>0</v>
      </c>
      <c r="AY132" s="176">
        <f t="shared" si="66"/>
        <v>0</v>
      </c>
      <c r="AZ132" s="172">
        <f t="shared" si="54"/>
        <v>0</v>
      </c>
      <c r="BA132" s="173">
        <f t="shared" si="55"/>
        <v>0</v>
      </c>
    </row>
    <row r="133" ht="15.75" customHeight="1">
      <c r="Z133" s="5"/>
      <c r="AA133" s="75"/>
      <c r="AB133" s="76" t="s">
        <v>28</v>
      </c>
      <c r="AC133" s="56">
        <f>IF('Ship Data Imperial'!E134&gt;0,'Ship Data Imperial'!E134,AS133)</f>
        <v>0</v>
      </c>
      <c r="AD133" s="77"/>
      <c r="AE133" s="77"/>
      <c r="AF133" s="171" t="str">
        <f>'Ship Data Imperial'!I134</f>
        <v/>
      </c>
      <c r="AG133" s="172">
        <f>IF(AC133&gt;0,Masts!$C$13*0.8888,0)</f>
        <v>0</v>
      </c>
      <c r="AH133" s="173">
        <f t="shared" si="39"/>
        <v>0</v>
      </c>
      <c r="AI133" s="174">
        <f t="shared" si="60"/>
        <v>0</v>
      </c>
      <c r="AJ133" s="175">
        <f t="shared" si="61"/>
        <v>0</v>
      </c>
      <c r="AK133" s="176">
        <f t="shared" si="62"/>
        <v>0</v>
      </c>
      <c r="AL133" s="172">
        <f t="shared" si="48"/>
        <v>0</v>
      </c>
      <c r="AM133" s="169"/>
      <c r="AN133" s="174">
        <f t="shared" si="76"/>
        <v>0</v>
      </c>
      <c r="AO133" s="176">
        <f t="shared" si="77"/>
        <v>0</v>
      </c>
      <c r="AP133" s="175">
        <f t="shared" si="78"/>
        <v>0</v>
      </c>
      <c r="AQ133" s="172">
        <f t="shared" si="50"/>
        <v>0</v>
      </c>
      <c r="AR133" s="173">
        <f t="shared" si="63"/>
        <v>0</v>
      </c>
      <c r="AS133" s="56">
        <f>'Ship Data Metric'!E134*0.03280839895</f>
        <v>0</v>
      </c>
      <c r="AT133" s="75"/>
      <c r="AU133" s="172">
        <f t="shared" si="64"/>
        <v>0</v>
      </c>
      <c r="AV133" s="173">
        <f t="shared" si="65"/>
        <v>0</v>
      </c>
      <c r="AW133" s="174">
        <f t="shared" si="52"/>
        <v>0</v>
      </c>
      <c r="AX133" s="175">
        <f t="shared" si="53"/>
        <v>0</v>
      </c>
      <c r="AY133" s="176">
        <f t="shared" si="66"/>
        <v>0</v>
      </c>
      <c r="AZ133" s="172">
        <f t="shared" si="54"/>
        <v>0</v>
      </c>
      <c r="BA133" s="173">
        <f t="shared" si="55"/>
        <v>0</v>
      </c>
    </row>
    <row r="134" ht="15.75" customHeight="1">
      <c r="Z134" s="5"/>
      <c r="AA134" s="75"/>
      <c r="AB134" s="76" t="s">
        <v>29</v>
      </c>
      <c r="AC134" s="56">
        <f>IF('Ship Data Imperial'!E135&gt;0,'Ship Data Imperial'!E135,AS134)</f>
        <v>0</v>
      </c>
      <c r="AD134" s="77"/>
      <c r="AE134" s="77"/>
      <c r="AF134" s="171" t="str">
        <f>'Ship Data Imperial'!I135</f>
        <v/>
      </c>
      <c r="AG134" s="172">
        <f>IF(AC134&gt;0,Masts!$C$13*0.8888,0)</f>
        <v>0</v>
      </c>
      <c r="AH134" s="173">
        <f t="shared" si="39"/>
        <v>0</v>
      </c>
      <c r="AI134" s="174">
        <f t="shared" si="60"/>
        <v>0</v>
      </c>
      <c r="AJ134" s="175">
        <f t="shared" si="61"/>
        <v>0</v>
      </c>
      <c r="AK134" s="176">
        <f t="shared" si="62"/>
        <v>0</v>
      </c>
      <c r="AL134" s="172">
        <f t="shared" si="48"/>
        <v>0</v>
      </c>
      <c r="AM134" s="169"/>
      <c r="AN134" s="174">
        <f t="shared" si="76"/>
        <v>0</v>
      </c>
      <c r="AO134" s="176">
        <f t="shared" si="77"/>
        <v>0</v>
      </c>
      <c r="AP134" s="175">
        <f t="shared" si="78"/>
        <v>0</v>
      </c>
      <c r="AQ134" s="172">
        <f t="shared" si="50"/>
        <v>0</v>
      </c>
      <c r="AR134" s="173">
        <f t="shared" si="63"/>
        <v>0</v>
      </c>
      <c r="AS134" s="56">
        <f>'Ship Data Metric'!E135*0.03280839895</f>
        <v>0</v>
      </c>
      <c r="AT134" s="75"/>
      <c r="AU134" s="172">
        <f t="shared" si="64"/>
        <v>0</v>
      </c>
      <c r="AV134" s="173">
        <f t="shared" si="65"/>
        <v>0</v>
      </c>
      <c r="AW134" s="174">
        <f t="shared" si="52"/>
        <v>0</v>
      </c>
      <c r="AX134" s="175">
        <f t="shared" si="53"/>
        <v>0</v>
      </c>
      <c r="AY134" s="176">
        <f t="shared" si="66"/>
        <v>0</v>
      </c>
      <c r="AZ134" s="172">
        <f t="shared" si="54"/>
        <v>0</v>
      </c>
      <c r="BA134" s="173">
        <f t="shared" si="55"/>
        <v>0</v>
      </c>
    </row>
    <row r="135" ht="15.75" customHeight="1">
      <c r="Z135" s="5"/>
      <c r="AA135" s="75"/>
      <c r="AB135" s="158" t="s">
        <v>51</v>
      </c>
      <c r="AC135" s="56">
        <f>IF('Ship Data Imperial'!E136&gt;0,'Ship Data Imperial'!E136,AS135)</f>
        <v>0</v>
      </c>
      <c r="AD135" s="77"/>
      <c r="AE135" s="77"/>
      <c r="AF135" s="171" t="str">
        <f>'Ship Data Imperial'!I136</f>
        <v/>
      </c>
      <c r="AG135" s="172">
        <f>IF(AC135&gt;0,Masts!$C$13*0.8888,0)</f>
        <v>0</v>
      </c>
      <c r="AH135" s="173">
        <f t="shared" si="39"/>
        <v>0</v>
      </c>
      <c r="AI135" s="174">
        <f t="shared" si="60"/>
        <v>0</v>
      </c>
      <c r="AJ135" s="175">
        <f t="shared" si="61"/>
        <v>0</v>
      </c>
      <c r="AK135" s="176">
        <f t="shared" si="62"/>
        <v>0</v>
      </c>
      <c r="AL135" s="172">
        <f t="shared" si="48"/>
        <v>0</v>
      </c>
      <c r="AM135" s="169"/>
      <c r="AN135" s="174">
        <f t="shared" si="76"/>
        <v>0</v>
      </c>
      <c r="AO135" s="176">
        <f t="shared" si="77"/>
        <v>0</v>
      </c>
      <c r="AP135" s="175">
        <f t="shared" si="78"/>
        <v>0</v>
      </c>
      <c r="AQ135" s="172">
        <f t="shared" si="50"/>
        <v>0</v>
      </c>
      <c r="AR135" s="173">
        <f t="shared" si="63"/>
        <v>0</v>
      </c>
      <c r="AS135" s="56">
        <f>'Ship Data Metric'!E136*0.03280839895</f>
        <v>0</v>
      </c>
      <c r="AT135" s="75"/>
      <c r="AU135" s="172">
        <f t="shared" si="64"/>
        <v>0</v>
      </c>
      <c r="AV135" s="173">
        <f t="shared" si="65"/>
        <v>0</v>
      </c>
      <c r="AW135" s="174">
        <f t="shared" si="52"/>
        <v>0</v>
      </c>
      <c r="AX135" s="175">
        <f t="shared" si="53"/>
        <v>0</v>
      </c>
      <c r="AY135" s="176">
        <f t="shared" si="66"/>
        <v>0</v>
      </c>
      <c r="AZ135" s="172">
        <f t="shared" si="54"/>
        <v>0</v>
      </c>
      <c r="BA135" s="173">
        <f t="shared" si="55"/>
        <v>0</v>
      </c>
    </row>
    <row r="136" ht="15.75" customHeight="1">
      <c r="Z136" s="5"/>
      <c r="AA136" s="221"/>
      <c r="AB136" s="221"/>
      <c r="AC136" s="221"/>
      <c r="AD136" s="221"/>
      <c r="AE136" s="221"/>
      <c r="AF136" s="221"/>
      <c r="AG136" s="222">
        <f t="shared" ref="AG136:AR136" si="79">SUM(AG2:AG121)</f>
        <v>34.92097533</v>
      </c>
      <c r="AH136" s="222">
        <f t="shared" si="79"/>
        <v>30.55585341</v>
      </c>
      <c r="AI136" s="222">
        <f t="shared" si="79"/>
        <v>21.81687934</v>
      </c>
      <c r="AJ136" s="222">
        <f t="shared" si="79"/>
        <v>24.93357638</v>
      </c>
      <c r="AK136" s="222">
        <f t="shared" si="79"/>
        <v>30.55585341</v>
      </c>
      <c r="AL136" s="222">
        <f t="shared" si="79"/>
        <v>29.09964874</v>
      </c>
      <c r="AM136" s="222">
        <f t="shared" si="79"/>
        <v>0</v>
      </c>
      <c r="AN136" s="222">
        <f t="shared" si="79"/>
        <v>14.96014583</v>
      </c>
      <c r="AO136" s="222">
        <f t="shared" si="79"/>
        <v>18.33351205</v>
      </c>
      <c r="AP136" s="222">
        <f t="shared" si="79"/>
        <v>0</v>
      </c>
      <c r="AQ136" s="222">
        <f t="shared" si="79"/>
        <v>30.55585341</v>
      </c>
      <c r="AR136" s="222">
        <f t="shared" si="79"/>
        <v>18.33351205</v>
      </c>
      <c r="AU136" s="222">
        <f t="shared" ref="AU136:BA136" si="80">SUM(AU2:AU121)</f>
        <v>8.148227577</v>
      </c>
      <c r="AV136" s="222">
        <f t="shared" si="80"/>
        <v>7.129699129</v>
      </c>
      <c r="AW136" s="222">
        <f t="shared" si="80"/>
        <v>2.992029166</v>
      </c>
      <c r="AX136" s="222">
        <f t="shared" si="80"/>
        <v>3.666702409</v>
      </c>
      <c r="AY136" s="222">
        <f t="shared" si="80"/>
        <v>4.545183195</v>
      </c>
      <c r="AZ136" s="222">
        <f t="shared" si="80"/>
        <v>3.666702409</v>
      </c>
      <c r="BA136" s="222">
        <f t="shared" si="80"/>
        <v>5.222416961</v>
      </c>
    </row>
    <row r="137" ht="15.75" customHeight="1">
      <c r="Z137" s="5"/>
      <c r="AA137" s="55" t="s">
        <v>16</v>
      </c>
      <c r="AB137" s="55" t="s">
        <v>17</v>
      </c>
      <c r="AC137" s="55" t="s">
        <v>18</v>
      </c>
      <c r="AD137" s="168" t="s">
        <v>178</v>
      </c>
      <c r="AE137" s="169" t="s">
        <v>179</v>
      </c>
      <c r="AF137" s="170" t="s">
        <v>180</v>
      </c>
      <c r="AG137" s="166" t="s">
        <v>181</v>
      </c>
      <c r="AH137" s="167" t="s">
        <v>182</v>
      </c>
      <c r="AI137" s="168" t="s">
        <v>181</v>
      </c>
      <c r="AJ137" s="169" t="s">
        <v>183</v>
      </c>
      <c r="AK137" s="170" t="s">
        <v>184</v>
      </c>
      <c r="AL137" s="167" t="s">
        <v>183</v>
      </c>
      <c r="AM137" s="166" t="s">
        <v>185</v>
      </c>
      <c r="AN137" s="168" t="s">
        <v>186</v>
      </c>
      <c r="AO137" s="169" t="s">
        <v>187</v>
      </c>
      <c r="AP137" s="170" t="s">
        <v>188</v>
      </c>
      <c r="AQ137" s="166" t="s">
        <v>189</v>
      </c>
      <c r="AS137" s="55" t="s">
        <v>18</v>
      </c>
      <c r="AT137" s="55" t="s">
        <v>16</v>
      </c>
      <c r="AU137" s="168" t="s">
        <v>190</v>
      </c>
      <c r="AV137" s="169" t="s">
        <v>191</v>
      </c>
      <c r="AW137" s="170" t="s">
        <v>192</v>
      </c>
      <c r="AX137" s="167" t="s">
        <v>193</v>
      </c>
      <c r="AY137" s="166" t="s">
        <v>194</v>
      </c>
    </row>
    <row r="138" ht="15.75" customHeight="1">
      <c r="Z138" s="5"/>
      <c r="AA138" s="75" t="s">
        <v>23</v>
      </c>
      <c r="AB138" s="76" t="s">
        <v>24</v>
      </c>
      <c r="AC138" s="56">
        <f>IF('Ship Data Imperial'!E3&gt;0,'Ship Data Imperial'!E3,AS138)</f>
        <v>0</v>
      </c>
      <c r="AD138" s="168">
        <f>IF(AC138&gt;0,$H$12*0.66,0)</f>
        <v>0</v>
      </c>
      <c r="AE138" s="169">
        <f>IF(AC138&gt;0,$H$7*0.66,0)</f>
        <v>0</v>
      </c>
      <c r="AF138" s="170">
        <f t="shared" ref="AF138:AF197" si="81">IF(AC138&gt;0,$H$17*0.66,0)</f>
        <v>0</v>
      </c>
      <c r="AG138" s="166">
        <f t="shared" ref="AG138:AG191" si="82">IF(AC138&gt;0,$H$13*0.5,0)</f>
        <v>0</v>
      </c>
      <c r="AH138" s="167">
        <f t="shared" ref="AH138:AH191" si="83">IF(AC138&gt;0,$H$8*0.5,0)</f>
        <v>0</v>
      </c>
      <c r="AI138" s="168">
        <f t="shared" ref="AI138:AI191" si="84">IF(AC138&gt;0,$H$20*0.5,0)</f>
        <v>0</v>
      </c>
      <c r="AJ138" s="169">
        <f t="shared" ref="AJ138:AJ191" si="85">IF(AC138&gt;0,$H$14*0.5,0)</f>
        <v>0</v>
      </c>
      <c r="AK138" s="170">
        <f t="shared" ref="AK138:AK191" si="86">IF(AC138&gt;0,$H$9*0.5,0)</f>
        <v>0</v>
      </c>
      <c r="AL138" s="167">
        <f t="shared" ref="AL138:AL191" si="87">IF(AC138&gt;0,$H$21*0.5,0)</f>
        <v>0</v>
      </c>
      <c r="AM138" s="166">
        <f t="shared" ref="AM138:AM215" si="88">IF(AC138&gt;0,$H$18*0.666,0)</f>
        <v>0</v>
      </c>
      <c r="AN138" s="168">
        <f t="shared" ref="AN138:AN215" si="89">IF(AC138&gt;0,$H$18*0.5,0)</f>
        <v>0</v>
      </c>
      <c r="AO138" s="169">
        <f t="shared" ref="AO138:AO191" si="90">IF(AC138&gt;0,$H$23*0.5,0)</f>
        <v>0</v>
      </c>
      <c r="AP138" s="170">
        <f t="shared" ref="AP138:AP191" si="91">IF(AC138&gt;0,$H$5*0.5,0)</f>
        <v>0</v>
      </c>
      <c r="AQ138" s="166">
        <f t="shared" ref="AQ138:AQ191" si="92">IF(AC138&gt;0,$H$6*0.5,0)</f>
        <v>0</v>
      </c>
      <c r="AS138" s="56">
        <f>'Ship Data Metric'!E3*0.03280839895</f>
        <v>0</v>
      </c>
      <c r="AT138" s="75" t="s">
        <v>23</v>
      </c>
      <c r="AU138" s="168">
        <f t="shared" ref="AU138:AU191" si="93">IF(AC138&gt;0,$H$28*0.5,0)</f>
        <v>0</v>
      </c>
      <c r="AV138" s="169">
        <f t="shared" ref="AV138:AV191" si="94">IF(AC138&gt;0,$H$30*0.5,0)</f>
        <v>0</v>
      </c>
      <c r="AW138" s="170">
        <f t="shared" ref="AW138:AW191" si="95">IF(AC138&gt;0,$H$32*0.5,0)</f>
        <v>0</v>
      </c>
      <c r="AX138" s="167">
        <f t="shared" ref="AX138:AX191" si="96">IF(AC138&gt;0,$H$34*0.5,0)</f>
        <v>0</v>
      </c>
      <c r="AY138" s="166">
        <f t="shared" ref="AY138:AY191" si="97">IF(AC138&gt;0,$H$36*0.5,0)</f>
        <v>0</v>
      </c>
    </row>
    <row r="139" ht="15.75" customHeight="1">
      <c r="Z139" s="5"/>
      <c r="AA139" s="96"/>
      <c r="AB139" s="76" t="s">
        <v>25</v>
      </c>
      <c r="AC139" s="56">
        <f>IF('Ship Data Imperial'!E4&gt;0,'Ship Data Imperial'!E4,AS139)</f>
        <v>0</v>
      </c>
      <c r="AD139" s="168">
        <f t="shared" ref="AD139:AD197" si="98">IF(AC139&gt;0,$D$12*0.66,0)</f>
        <v>0</v>
      </c>
      <c r="AE139" s="169">
        <f t="shared" ref="AE139:AE197" si="99">IF(AC139&gt;0,$D$7*0.66,0)</f>
        <v>0</v>
      </c>
      <c r="AF139" s="170">
        <f t="shared" si="81"/>
        <v>0</v>
      </c>
      <c r="AG139" s="166">
        <f t="shared" si="82"/>
        <v>0</v>
      </c>
      <c r="AH139" s="167">
        <f t="shared" si="83"/>
        <v>0</v>
      </c>
      <c r="AI139" s="168">
        <f t="shared" si="84"/>
        <v>0</v>
      </c>
      <c r="AJ139" s="169">
        <f t="shared" si="85"/>
        <v>0</v>
      </c>
      <c r="AK139" s="170">
        <f t="shared" si="86"/>
        <v>0</v>
      </c>
      <c r="AL139" s="167">
        <f t="shared" si="87"/>
        <v>0</v>
      </c>
      <c r="AM139" s="166">
        <f t="shared" si="88"/>
        <v>0</v>
      </c>
      <c r="AN139" s="168">
        <f t="shared" si="89"/>
        <v>0</v>
      </c>
      <c r="AO139" s="169">
        <f t="shared" si="90"/>
        <v>0</v>
      </c>
      <c r="AP139" s="170">
        <f t="shared" si="91"/>
        <v>0</v>
      </c>
      <c r="AQ139" s="166">
        <f t="shared" si="92"/>
        <v>0</v>
      </c>
      <c r="AS139" s="56">
        <f>'Ship Data Metric'!E4*0.03280839895</f>
        <v>0</v>
      </c>
      <c r="AT139" s="96"/>
      <c r="AU139" s="168">
        <f t="shared" si="93"/>
        <v>0</v>
      </c>
      <c r="AV139" s="169">
        <f t="shared" si="94"/>
        <v>0</v>
      </c>
      <c r="AW139" s="170">
        <f t="shared" si="95"/>
        <v>0</v>
      </c>
      <c r="AX139" s="167">
        <f t="shared" si="96"/>
        <v>0</v>
      </c>
      <c r="AY139" s="166">
        <f t="shared" si="97"/>
        <v>0</v>
      </c>
    </row>
    <row r="140" ht="15.75" customHeight="1">
      <c r="Z140" s="5"/>
      <c r="AA140" s="96"/>
      <c r="AB140" s="76" t="s">
        <v>26</v>
      </c>
      <c r="AC140" s="56">
        <f>IF('Ship Data Imperial'!E5&gt;0,'Ship Data Imperial'!E5,AS140)</f>
        <v>0</v>
      </c>
      <c r="AD140" s="168">
        <f t="shared" si="98"/>
        <v>0</v>
      </c>
      <c r="AE140" s="169">
        <f t="shared" si="99"/>
        <v>0</v>
      </c>
      <c r="AF140" s="170">
        <f t="shared" si="81"/>
        <v>0</v>
      </c>
      <c r="AG140" s="166">
        <f t="shared" si="82"/>
        <v>0</v>
      </c>
      <c r="AH140" s="167">
        <f t="shared" si="83"/>
        <v>0</v>
      </c>
      <c r="AI140" s="168">
        <f t="shared" si="84"/>
        <v>0</v>
      </c>
      <c r="AJ140" s="169">
        <f t="shared" si="85"/>
        <v>0</v>
      </c>
      <c r="AK140" s="170">
        <f t="shared" si="86"/>
        <v>0</v>
      </c>
      <c r="AL140" s="167">
        <f t="shared" si="87"/>
        <v>0</v>
      </c>
      <c r="AM140" s="166">
        <f t="shared" si="88"/>
        <v>0</v>
      </c>
      <c r="AN140" s="168">
        <f t="shared" si="89"/>
        <v>0</v>
      </c>
      <c r="AO140" s="169">
        <f t="shared" si="90"/>
        <v>0</v>
      </c>
      <c r="AP140" s="170">
        <f t="shared" si="91"/>
        <v>0</v>
      </c>
      <c r="AQ140" s="166">
        <f t="shared" si="92"/>
        <v>0</v>
      </c>
      <c r="AS140" s="56">
        <f>'Ship Data Metric'!E5*0.03280839895</f>
        <v>0</v>
      </c>
      <c r="AT140" s="96"/>
      <c r="AU140" s="168">
        <f t="shared" si="93"/>
        <v>0</v>
      </c>
      <c r="AV140" s="169">
        <f t="shared" si="94"/>
        <v>0</v>
      </c>
      <c r="AW140" s="170">
        <f t="shared" si="95"/>
        <v>0</v>
      </c>
      <c r="AX140" s="167">
        <f t="shared" si="96"/>
        <v>0</v>
      </c>
      <c r="AY140" s="166">
        <f t="shared" si="97"/>
        <v>0</v>
      </c>
    </row>
    <row r="141" ht="15.75" customHeight="1">
      <c r="Z141" s="5"/>
      <c r="AA141" s="96"/>
      <c r="AB141" s="76" t="s">
        <v>27</v>
      </c>
      <c r="AC141" s="56">
        <f>IF('Ship Data Imperial'!E6&gt;0,'Ship Data Imperial'!E6,AS141)</f>
        <v>0</v>
      </c>
      <c r="AD141" s="168">
        <f t="shared" si="98"/>
        <v>0</v>
      </c>
      <c r="AE141" s="169">
        <f t="shared" si="99"/>
        <v>0</v>
      </c>
      <c r="AF141" s="170">
        <f t="shared" si="81"/>
        <v>0</v>
      </c>
      <c r="AG141" s="166">
        <f t="shared" si="82"/>
        <v>0</v>
      </c>
      <c r="AH141" s="167">
        <f t="shared" si="83"/>
        <v>0</v>
      </c>
      <c r="AI141" s="168">
        <f t="shared" si="84"/>
        <v>0</v>
      </c>
      <c r="AJ141" s="169">
        <f t="shared" si="85"/>
        <v>0</v>
      </c>
      <c r="AK141" s="170">
        <f t="shared" si="86"/>
        <v>0</v>
      </c>
      <c r="AL141" s="167">
        <f t="shared" si="87"/>
        <v>0</v>
      </c>
      <c r="AM141" s="166">
        <f t="shared" si="88"/>
        <v>0</v>
      </c>
      <c r="AN141" s="168">
        <f t="shared" si="89"/>
        <v>0</v>
      </c>
      <c r="AO141" s="169">
        <f t="shared" si="90"/>
        <v>0</v>
      </c>
      <c r="AP141" s="170">
        <f t="shared" si="91"/>
        <v>0</v>
      </c>
      <c r="AQ141" s="166">
        <f t="shared" si="92"/>
        <v>0</v>
      </c>
      <c r="AS141" s="56">
        <f>'Ship Data Metric'!E6*0.03280839895</f>
        <v>0</v>
      </c>
      <c r="AT141" s="96"/>
      <c r="AU141" s="168">
        <f t="shared" si="93"/>
        <v>0</v>
      </c>
      <c r="AV141" s="169">
        <f t="shared" si="94"/>
        <v>0</v>
      </c>
      <c r="AW141" s="170">
        <f t="shared" si="95"/>
        <v>0</v>
      </c>
      <c r="AX141" s="167">
        <f t="shared" si="96"/>
        <v>0</v>
      </c>
      <c r="AY141" s="166">
        <f t="shared" si="97"/>
        <v>0</v>
      </c>
    </row>
    <row r="142" ht="15.75" customHeight="1">
      <c r="Z142" s="5"/>
      <c r="AA142" s="96"/>
      <c r="AB142" s="76" t="s">
        <v>28</v>
      </c>
      <c r="AC142" s="56">
        <f>IF('Ship Data Imperial'!E7&gt;0,'Ship Data Imperial'!E7,AS142)</f>
        <v>0</v>
      </c>
      <c r="AD142" s="168">
        <f t="shared" si="98"/>
        <v>0</v>
      </c>
      <c r="AE142" s="169">
        <f t="shared" si="99"/>
        <v>0</v>
      </c>
      <c r="AF142" s="170">
        <f t="shared" si="81"/>
        <v>0</v>
      </c>
      <c r="AG142" s="166">
        <f t="shared" si="82"/>
        <v>0</v>
      </c>
      <c r="AH142" s="167">
        <f t="shared" si="83"/>
        <v>0</v>
      </c>
      <c r="AI142" s="168">
        <f t="shared" si="84"/>
        <v>0</v>
      </c>
      <c r="AJ142" s="169">
        <f t="shared" si="85"/>
        <v>0</v>
      </c>
      <c r="AK142" s="170">
        <f t="shared" si="86"/>
        <v>0</v>
      </c>
      <c r="AL142" s="167">
        <f t="shared" si="87"/>
        <v>0</v>
      </c>
      <c r="AM142" s="166">
        <f t="shared" si="88"/>
        <v>0</v>
      </c>
      <c r="AN142" s="168">
        <f t="shared" si="89"/>
        <v>0</v>
      </c>
      <c r="AO142" s="169">
        <f t="shared" si="90"/>
        <v>0</v>
      </c>
      <c r="AP142" s="170">
        <f t="shared" si="91"/>
        <v>0</v>
      </c>
      <c r="AQ142" s="166">
        <f t="shared" si="92"/>
        <v>0</v>
      </c>
      <c r="AS142" s="56">
        <f>'Ship Data Metric'!E7*0.03280839895</f>
        <v>0</v>
      </c>
      <c r="AT142" s="96"/>
      <c r="AU142" s="168">
        <f t="shared" si="93"/>
        <v>0</v>
      </c>
      <c r="AV142" s="169">
        <f t="shared" si="94"/>
        <v>0</v>
      </c>
      <c r="AW142" s="170">
        <f t="shared" si="95"/>
        <v>0</v>
      </c>
      <c r="AX142" s="167">
        <f t="shared" si="96"/>
        <v>0</v>
      </c>
      <c r="AY142" s="166">
        <f t="shared" si="97"/>
        <v>0</v>
      </c>
    </row>
    <row r="143" ht="15.75" customHeight="1">
      <c r="Z143" s="5"/>
      <c r="AA143" s="96"/>
      <c r="AB143" s="76" t="s">
        <v>29</v>
      </c>
      <c r="AC143" s="56">
        <f>IF('Ship Data Imperial'!E8&gt;0,'Ship Data Imperial'!E8,AS143)</f>
        <v>0</v>
      </c>
      <c r="AD143" s="168">
        <f t="shared" si="98"/>
        <v>0</v>
      </c>
      <c r="AE143" s="169">
        <f t="shared" si="99"/>
        <v>0</v>
      </c>
      <c r="AF143" s="170">
        <f t="shared" si="81"/>
        <v>0</v>
      </c>
      <c r="AG143" s="166">
        <f t="shared" si="82"/>
        <v>0</v>
      </c>
      <c r="AH143" s="167">
        <f t="shared" si="83"/>
        <v>0</v>
      </c>
      <c r="AI143" s="168">
        <f t="shared" si="84"/>
        <v>0</v>
      </c>
      <c r="AJ143" s="169">
        <f t="shared" si="85"/>
        <v>0</v>
      </c>
      <c r="AK143" s="170">
        <f t="shared" si="86"/>
        <v>0</v>
      </c>
      <c r="AL143" s="167">
        <f t="shared" si="87"/>
        <v>0</v>
      </c>
      <c r="AM143" s="166">
        <f t="shared" si="88"/>
        <v>0</v>
      </c>
      <c r="AN143" s="168">
        <f t="shared" si="89"/>
        <v>0</v>
      </c>
      <c r="AO143" s="169">
        <f t="shared" si="90"/>
        <v>0</v>
      </c>
      <c r="AP143" s="170">
        <f t="shared" si="91"/>
        <v>0</v>
      </c>
      <c r="AQ143" s="166">
        <f t="shared" si="92"/>
        <v>0</v>
      </c>
      <c r="AS143" s="56">
        <f>'Ship Data Metric'!E8*0.03280839895</f>
        <v>0</v>
      </c>
      <c r="AT143" s="96"/>
      <c r="AU143" s="168">
        <f t="shared" si="93"/>
        <v>0</v>
      </c>
      <c r="AV143" s="169">
        <f t="shared" si="94"/>
        <v>0</v>
      </c>
      <c r="AW143" s="170">
        <f t="shared" si="95"/>
        <v>0</v>
      </c>
      <c r="AX143" s="167">
        <f t="shared" si="96"/>
        <v>0</v>
      </c>
      <c r="AY143" s="166">
        <f t="shared" si="97"/>
        <v>0</v>
      </c>
    </row>
    <row r="144" ht="15.75" customHeight="1">
      <c r="Z144" s="5"/>
      <c r="AA144" s="75" t="s">
        <v>30</v>
      </c>
      <c r="AB144" s="76" t="s">
        <v>24</v>
      </c>
      <c r="AC144" s="56">
        <f>IF('Ship Data Imperial'!E9&gt;0,'Ship Data Imperial'!E9,AS144)</f>
        <v>0</v>
      </c>
      <c r="AD144" s="168">
        <f t="shared" si="98"/>
        <v>0</v>
      </c>
      <c r="AE144" s="169">
        <f t="shared" si="99"/>
        <v>0</v>
      </c>
      <c r="AF144" s="170">
        <f t="shared" si="81"/>
        <v>0</v>
      </c>
      <c r="AG144" s="166">
        <f t="shared" si="82"/>
        <v>0</v>
      </c>
      <c r="AH144" s="167">
        <f t="shared" si="83"/>
        <v>0</v>
      </c>
      <c r="AI144" s="168">
        <f t="shared" si="84"/>
        <v>0</v>
      </c>
      <c r="AJ144" s="169">
        <f t="shared" si="85"/>
        <v>0</v>
      </c>
      <c r="AK144" s="170">
        <f t="shared" si="86"/>
        <v>0</v>
      </c>
      <c r="AL144" s="167">
        <f t="shared" si="87"/>
        <v>0</v>
      </c>
      <c r="AM144" s="166">
        <f t="shared" si="88"/>
        <v>0</v>
      </c>
      <c r="AN144" s="168">
        <f t="shared" si="89"/>
        <v>0</v>
      </c>
      <c r="AO144" s="169">
        <f t="shared" si="90"/>
        <v>0</v>
      </c>
      <c r="AP144" s="170">
        <f t="shared" si="91"/>
        <v>0</v>
      </c>
      <c r="AQ144" s="166">
        <f t="shared" si="92"/>
        <v>0</v>
      </c>
      <c r="AS144" s="56">
        <f>'Ship Data Metric'!E9*0.03280839895</f>
        <v>0</v>
      </c>
      <c r="AT144" s="75" t="s">
        <v>30</v>
      </c>
      <c r="AU144" s="168">
        <f t="shared" si="93"/>
        <v>0</v>
      </c>
      <c r="AV144" s="169">
        <f t="shared" si="94"/>
        <v>0</v>
      </c>
      <c r="AW144" s="170">
        <f t="shared" si="95"/>
        <v>0</v>
      </c>
      <c r="AX144" s="167">
        <f t="shared" si="96"/>
        <v>0</v>
      </c>
      <c r="AY144" s="166">
        <f t="shared" si="97"/>
        <v>0</v>
      </c>
    </row>
    <row r="145" ht="15.75" customHeight="1">
      <c r="Z145" s="5"/>
      <c r="AA145" s="96"/>
      <c r="AB145" s="76" t="s">
        <v>25</v>
      </c>
      <c r="AC145" s="56">
        <f>IF('Ship Data Imperial'!E10&gt;0,'Ship Data Imperial'!E10,AS145)</f>
        <v>0</v>
      </c>
      <c r="AD145" s="168">
        <f t="shared" si="98"/>
        <v>0</v>
      </c>
      <c r="AE145" s="169">
        <f t="shared" si="99"/>
        <v>0</v>
      </c>
      <c r="AF145" s="170">
        <f t="shared" si="81"/>
        <v>0</v>
      </c>
      <c r="AG145" s="166">
        <f t="shared" si="82"/>
        <v>0</v>
      </c>
      <c r="AH145" s="167">
        <f t="shared" si="83"/>
        <v>0</v>
      </c>
      <c r="AI145" s="168">
        <f t="shared" si="84"/>
        <v>0</v>
      </c>
      <c r="AJ145" s="169">
        <f t="shared" si="85"/>
        <v>0</v>
      </c>
      <c r="AK145" s="170">
        <f t="shared" si="86"/>
        <v>0</v>
      </c>
      <c r="AL145" s="167">
        <f t="shared" si="87"/>
        <v>0</v>
      </c>
      <c r="AM145" s="166">
        <f t="shared" si="88"/>
        <v>0</v>
      </c>
      <c r="AN145" s="168">
        <f t="shared" si="89"/>
        <v>0</v>
      </c>
      <c r="AO145" s="169">
        <f t="shared" si="90"/>
        <v>0</v>
      </c>
      <c r="AP145" s="170">
        <f t="shared" si="91"/>
        <v>0</v>
      </c>
      <c r="AQ145" s="166">
        <f t="shared" si="92"/>
        <v>0</v>
      </c>
      <c r="AS145" s="56">
        <f>'Ship Data Metric'!E10*0.03280839895</f>
        <v>0</v>
      </c>
      <c r="AT145" s="96"/>
      <c r="AU145" s="168">
        <f t="shared" si="93"/>
        <v>0</v>
      </c>
      <c r="AV145" s="169">
        <f t="shared" si="94"/>
        <v>0</v>
      </c>
      <c r="AW145" s="170">
        <f t="shared" si="95"/>
        <v>0</v>
      </c>
      <c r="AX145" s="167">
        <f t="shared" si="96"/>
        <v>0</v>
      </c>
      <c r="AY145" s="166">
        <f t="shared" si="97"/>
        <v>0</v>
      </c>
    </row>
    <row r="146" ht="15.75" customHeight="1">
      <c r="Z146" s="5"/>
      <c r="AA146" s="96"/>
      <c r="AB146" s="76" t="s">
        <v>26</v>
      </c>
      <c r="AC146" s="56">
        <f>IF('Ship Data Imperial'!E11&gt;0,'Ship Data Imperial'!E11,AS146)</f>
        <v>0</v>
      </c>
      <c r="AD146" s="168">
        <f t="shared" si="98"/>
        <v>0</v>
      </c>
      <c r="AE146" s="169">
        <f t="shared" si="99"/>
        <v>0</v>
      </c>
      <c r="AF146" s="170">
        <f t="shared" si="81"/>
        <v>0</v>
      </c>
      <c r="AG146" s="166">
        <f t="shared" si="82"/>
        <v>0</v>
      </c>
      <c r="AH146" s="167">
        <f t="shared" si="83"/>
        <v>0</v>
      </c>
      <c r="AI146" s="168">
        <f t="shared" si="84"/>
        <v>0</v>
      </c>
      <c r="AJ146" s="169">
        <f t="shared" si="85"/>
        <v>0</v>
      </c>
      <c r="AK146" s="170">
        <f t="shared" si="86"/>
        <v>0</v>
      </c>
      <c r="AL146" s="167">
        <f t="shared" si="87"/>
        <v>0</v>
      </c>
      <c r="AM146" s="166">
        <f t="shared" si="88"/>
        <v>0</v>
      </c>
      <c r="AN146" s="168">
        <f t="shared" si="89"/>
        <v>0</v>
      </c>
      <c r="AO146" s="169">
        <f t="shared" si="90"/>
        <v>0</v>
      </c>
      <c r="AP146" s="170">
        <f t="shared" si="91"/>
        <v>0</v>
      </c>
      <c r="AQ146" s="166">
        <f t="shared" si="92"/>
        <v>0</v>
      </c>
      <c r="AS146" s="56">
        <f>'Ship Data Metric'!E11*0.03280839895</f>
        <v>0</v>
      </c>
      <c r="AT146" s="96"/>
      <c r="AU146" s="168">
        <f t="shared" si="93"/>
        <v>0</v>
      </c>
      <c r="AV146" s="169">
        <f t="shared" si="94"/>
        <v>0</v>
      </c>
      <c r="AW146" s="170">
        <f t="shared" si="95"/>
        <v>0</v>
      </c>
      <c r="AX146" s="167">
        <f t="shared" si="96"/>
        <v>0</v>
      </c>
      <c r="AY146" s="166">
        <f t="shared" si="97"/>
        <v>0</v>
      </c>
    </row>
    <row r="147" ht="15.75" customHeight="1">
      <c r="Z147" s="5"/>
      <c r="AA147" s="96"/>
      <c r="AB147" s="76" t="s">
        <v>27</v>
      </c>
      <c r="AC147" s="56">
        <f>IF('Ship Data Imperial'!E12&gt;0,'Ship Data Imperial'!E12,AS147)</f>
        <v>0</v>
      </c>
      <c r="AD147" s="168">
        <f t="shared" si="98"/>
        <v>0</v>
      </c>
      <c r="AE147" s="169">
        <f t="shared" si="99"/>
        <v>0</v>
      </c>
      <c r="AF147" s="170">
        <f t="shared" si="81"/>
        <v>0</v>
      </c>
      <c r="AG147" s="166">
        <f t="shared" si="82"/>
        <v>0</v>
      </c>
      <c r="AH147" s="167">
        <f t="shared" si="83"/>
        <v>0</v>
      </c>
      <c r="AI147" s="168">
        <f t="shared" si="84"/>
        <v>0</v>
      </c>
      <c r="AJ147" s="169">
        <f t="shared" si="85"/>
        <v>0</v>
      </c>
      <c r="AK147" s="170">
        <f t="shared" si="86"/>
        <v>0</v>
      </c>
      <c r="AL147" s="167">
        <f t="shared" si="87"/>
        <v>0</v>
      </c>
      <c r="AM147" s="166">
        <f t="shared" si="88"/>
        <v>0</v>
      </c>
      <c r="AN147" s="168">
        <f t="shared" si="89"/>
        <v>0</v>
      </c>
      <c r="AO147" s="169">
        <f t="shared" si="90"/>
        <v>0</v>
      </c>
      <c r="AP147" s="170">
        <f t="shared" si="91"/>
        <v>0</v>
      </c>
      <c r="AQ147" s="166">
        <f t="shared" si="92"/>
        <v>0</v>
      </c>
      <c r="AS147" s="56">
        <f>'Ship Data Metric'!E12*0.03280839895</f>
        <v>0</v>
      </c>
      <c r="AT147" s="96"/>
      <c r="AU147" s="168">
        <f t="shared" si="93"/>
        <v>0</v>
      </c>
      <c r="AV147" s="169">
        <f t="shared" si="94"/>
        <v>0</v>
      </c>
      <c r="AW147" s="170">
        <f t="shared" si="95"/>
        <v>0</v>
      </c>
      <c r="AX147" s="167">
        <f t="shared" si="96"/>
        <v>0</v>
      </c>
      <c r="AY147" s="166">
        <f t="shared" si="97"/>
        <v>0</v>
      </c>
    </row>
    <row r="148" ht="15.75" customHeight="1">
      <c r="Z148" s="5"/>
      <c r="AA148" s="96"/>
      <c r="AB148" s="76" t="s">
        <v>28</v>
      </c>
      <c r="AC148" s="56">
        <f>IF('Ship Data Imperial'!E13&gt;0,'Ship Data Imperial'!E13,AS148)</f>
        <v>0</v>
      </c>
      <c r="AD148" s="168">
        <f t="shared" si="98"/>
        <v>0</v>
      </c>
      <c r="AE148" s="169">
        <f t="shared" si="99"/>
        <v>0</v>
      </c>
      <c r="AF148" s="170">
        <f t="shared" si="81"/>
        <v>0</v>
      </c>
      <c r="AG148" s="166">
        <f t="shared" si="82"/>
        <v>0</v>
      </c>
      <c r="AH148" s="167">
        <f t="shared" si="83"/>
        <v>0</v>
      </c>
      <c r="AI148" s="168">
        <f t="shared" si="84"/>
        <v>0</v>
      </c>
      <c r="AJ148" s="169">
        <f t="shared" si="85"/>
        <v>0</v>
      </c>
      <c r="AK148" s="170">
        <f t="shared" si="86"/>
        <v>0</v>
      </c>
      <c r="AL148" s="167">
        <f t="shared" si="87"/>
        <v>0</v>
      </c>
      <c r="AM148" s="166">
        <f t="shared" si="88"/>
        <v>0</v>
      </c>
      <c r="AN148" s="168">
        <f t="shared" si="89"/>
        <v>0</v>
      </c>
      <c r="AO148" s="169">
        <f t="shared" si="90"/>
        <v>0</v>
      </c>
      <c r="AP148" s="170">
        <f t="shared" si="91"/>
        <v>0</v>
      </c>
      <c r="AQ148" s="166">
        <f t="shared" si="92"/>
        <v>0</v>
      </c>
      <c r="AS148" s="56">
        <f>'Ship Data Metric'!E13*0.03280839895</f>
        <v>0</v>
      </c>
      <c r="AT148" s="96"/>
      <c r="AU148" s="168">
        <f t="shared" si="93"/>
        <v>0</v>
      </c>
      <c r="AV148" s="169">
        <f t="shared" si="94"/>
        <v>0</v>
      </c>
      <c r="AW148" s="170">
        <f t="shared" si="95"/>
        <v>0</v>
      </c>
      <c r="AX148" s="167">
        <f t="shared" si="96"/>
        <v>0</v>
      </c>
      <c r="AY148" s="166">
        <f t="shared" si="97"/>
        <v>0</v>
      </c>
    </row>
    <row r="149" ht="15.75" customHeight="1">
      <c r="Z149" s="5"/>
      <c r="AA149" s="96"/>
      <c r="AB149" s="76" t="s">
        <v>29</v>
      </c>
      <c r="AC149" s="56">
        <f>IF('Ship Data Imperial'!E14&gt;0,'Ship Data Imperial'!E14,AS149)</f>
        <v>0</v>
      </c>
      <c r="AD149" s="168">
        <f t="shared" si="98"/>
        <v>0</v>
      </c>
      <c r="AE149" s="169">
        <f t="shared" si="99"/>
        <v>0</v>
      </c>
      <c r="AF149" s="170">
        <f t="shared" si="81"/>
        <v>0</v>
      </c>
      <c r="AG149" s="166">
        <f t="shared" si="82"/>
        <v>0</v>
      </c>
      <c r="AH149" s="167">
        <f t="shared" si="83"/>
        <v>0</v>
      </c>
      <c r="AI149" s="168">
        <f t="shared" si="84"/>
        <v>0</v>
      </c>
      <c r="AJ149" s="169">
        <f t="shared" si="85"/>
        <v>0</v>
      </c>
      <c r="AK149" s="170">
        <f t="shared" si="86"/>
        <v>0</v>
      </c>
      <c r="AL149" s="167">
        <f t="shared" si="87"/>
        <v>0</v>
      </c>
      <c r="AM149" s="166">
        <f t="shared" si="88"/>
        <v>0</v>
      </c>
      <c r="AN149" s="168">
        <f t="shared" si="89"/>
        <v>0</v>
      </c>
      <c r="AO149" s="169">
        <f t="shared" si="90"/>
        <v>0</v>
      </c>
      <c r="AP149" s="170">
        <f t="shared" si="91"/>
        <v>0</v>
      </c>
      <c r="AQ149" s="166">
        <f t="shared" si="92"/>
        <v>0</v>
      </c>
      <c r="AS149" s="56">
        <f>'Ship Data Metric'!E14*0.03280839895</f>
        <v>0</v>
      </c>
      <c r="AT149" s="96"/>
      <c r="AU149" s="168">
        <f t="shared" si="93"/>
        <v>0</v>
      </c>
      <c r="AV149" s="169">
        <f t="shared" si="94"/>
        <v>0</v>
      </c>
      <c r="AW149" s="170">
        <f t="shared" si="95"/>
        <v>0</v>
      </c>
      <c r="AX149" s="167">
        <f t="shared" si="96"/>
        <v>0</v>
      </c>
      <c r="AY149" s="166">
        <f t="shared" si="97"/>
        <v>0</v>
      </c>
    </row>
    <row r="150" ht="15.75" customHeight="1">
      <c r="Z150" s="5"/>
      <c r="AA150" s="75" t="s">
        <v>31</v>
      </c>
      <c r="AB150" s="76" t="s">
        <v>24</v>
      </c>
      <c r="AC150" s="56">
        <f>IF('Ship Data Imperial'!E15&gt;0,'Ship Data Imperial'!E15,AS150)</f>
        <v>0</v>
      </c>
      <c r="AD150" s="168">
        <f t="shared" si="98"/>
        <v>0</v>
      </c>
      <c r="AE150" s="169">
        <f t="shared" si="99"/>
        <v>0</v>
      </c>
      <c r="AF150" s="170">
        <f t="shared" si="81"/>
        <v>0</v>
      </c>
      <c r="AG150" s="166">
        <f t="shared" si="82"/>
        <v>0</v>
      </c>
      <c r="AH150" s="167">
        <f t="shared" si="83"/>
        <v>0</v>
      </c>
      <c r="AI150" s="168">
        <f t="shared" si="84"/>
        <v>0</v>
      </c>
      <c r="AJ150" s="169">
        <f t="shared" si="85"/>
        <v>0</v>
      </c>
      <c r="AK150" s="170">
        <f t="shared" si="86"/>
        <v>0</v>
      </c>
      <c r="AL150" s="167">
        <f t="shared" si="87"/>
        <v>0</v>
      </c>
      <c r="AM150" s="166">
        <f t="shared" si="88"/>
        <v>0</v>
      </c>
      <c r="AN150" s="168">
        <f t="shared" si="89"/>
        <v>0</v>
      </c>
      <c r="AO150" s="169">
        <f t="shared" si="90"/>
        <v>0</v>
      </c>
      <c r="AP150" s="170">
        <f t="shared" si="91"/>
        <v>0</v>
      </c>
      <c r="AQ150" s="166">
        <f t="shared" si="92"/>
        <v>0</v>
      </c>
      <c r="AS150" s="56">
        <f>'Ship Data Metric'!E15*0.03280839895</f>
        <v>0</v>
      </c>
      <c r="AT150" s="75" t="s">
        <v>31</v>
      </c>
      <c r="AU150" s="168">
        <f t="shared" si="93"/>
        <v>0</v>
      </c>
      <c r="AV150" s="169">
        <f t="shared" si="94"/>
        <v>0</v>
      </c>
      <c r="AW150" s="170">
        <f t="shared" si="95"/>
        <v>0</v>
      </c>
      <c r="AX150" s="167">
        <f t="shared" si="96"/>
        <v>0</v>
      </c>
      <c r="AY150" s="166">
        <f t="shared" si="97"/>
        <v>0</v>
      </c>
    </row>
    <row r="151" ht="15.75" customHeight="1">
      <c r="Z151" s="5"/>
      <c r="AA151" s="96"/>
      <c r="AB151" s="76" t="s">
        <v>25</v>
      </c>
      <c r="AC151" s="56">
        <f>IF('Ship Data Imperial'!E16&gt;0,'Ship Data Imperial'!E16,AS151)</f>
        <v>0</v>
      </c>
      <c r="AD151" s="168">
        <f t="shared" si="98"/>
        <v>0</v>
      </c>
      <c r="AE151" s="169">
        <f t="shared" si="99"/>
        <v>0</v>
      </c>
      <c r="AF151" s="170">
        <f t="shared" si="81"/>
        <v>0</v>
      </c>
      <c r="AG151" s="166">
        <f t="shared" si="82"/>
        <v>0</v>
      </c>
      <c r="AH151" s="167">
        <f t="shared" si="83"/>
        <v>0</v>
      </c>
      <c r="AI151" s="168">
        <f t="shared" si="84"/>
        <v>0</v>
      </c>
      <c r="AJ151" s="169">
        <f t="shared" si="85"/>
        <v>0</v>
      </c>
      <c r="AK151" s="170">
        <f t="shared" si="86"/>
        <v>0</v>
      </c>
      <c r="AL151" s="167">
        <f t="shared" si="87"/>
        <v>0</v>
      </c>
      <c r="AM151" s="166">
        <f t="shared" si="88"/>
        <v>0</v>
      </c>
      <c r="AN151" s="168">
        <f t="shared" si="89"/>
        <v>0</v>
      </c>
      <c r="AO151" s="169">
        <f t="shared" si="90"/>
        <v>0</v>
      </c>
      <c r="AP151" s="170">
        <f t="shared" si="91"/>
        <v>0</v>
      </c>
      <c r="AQ151" s="166">
        <f t="shared" si="92"/>
        <v>0</v>
      </c>
      <c r="AS151" s="56">
        <f>'Ship Data Metric'!E16*0.03280839895</f>
        <v>0</v>
      </c>
      <c r="AT151" s="96"/>
      <c r="AU151" s="168">
        <f t="shared" si="93"/>
        <v>0</v>
      </c>
      <c r="AV151" s="169">
        <f t="shared" si="94"/>
        <v>0</v>
      </c>
      <c r="AW151" s="170">
        <f t="shared" si="95"/>
        <v>0</v>
      </c>
      <c r="AX151" s="167">
        <f t="shared" si="96"/>
        <v>0</v>
      </c>
      <c r="AY151" s="166">
        <f t="shared" si="97"/>
        <v>0</v>
      </c>
    </row>
    <row r="152" ht="15.75" customHeight="1">
      <c r="Z152" s="5"/>
      <c r="AA152" s="96"/>
      <c r="AB152" s="76" t="s">
        <v>26</v>
      </c>
      <c r="AC152" s="56">
        <f>IF('Ship Data Imperial'!E17&gt;0,'Ship Data Imperial'!E17,AS152)</f>
        <v>0</v>
      </c>
      <c r="AD152" s="168">
        <f t="shared" si="98"/>
        <v>0</v>
      </c>
      <c r="AE152" s="169">
        <f t="shared" si="99"/>
        <v>0</v>
      </c>
      <c r="AF152" s="170">
        <f t="shared" si="81"/>
        <v>0</v>
      </c>
      <c r="AG152" s="166">
        <f t="shared" si="82"/>
        <v>0</v>
      </c>
      <c r="AH152" s="167">
        <f t="shared" si="83"/>
        <v>0</v>
      </c>
      <c r="AI152" s="168">
        <f t="shared" si="84"/>
        <v>0</v>
      </c>
      <c r="AJ152" s="169">
        <f t="shared" si="85"/>
        <v>0</v>
      </c>
      <c r="AK152" s="170">
        <f t="shared" si="86"/>
        <v>0</v>
      </c>
      <c r="AL152" s="167">
        <f t="shared" si="87"/>
        <v>0</v>
      </c>
      <c r="AM152" s="166">
        <f t="shared" si="88"/>
        <v>0</v>
      </c>
      <c r="AN152" s="168">
        <f t="shared" si="89"/>
        <v>0</v>
      </c>
      <c r="AO152" s="169">
        <f t="shared" si="90"/>
        <v>0</v>
      </c>
      <c r="AP152" s="170">
        <f t="shared" si="91"/>
        <v>0</v>
      </c>
      <c r="AQ152" s="166">
        <f t="shared" si="92"/>
        <v>0</v>
      </c>
      <c r="AS152" s="56">
        <f>'Ship Data Metric'!E17*0.03280839895</f>
        <v>0</v>
      </c>
      <c r="AT152" s="96"/>
      <c r="AU152" s="168">
        <f t="shared" si="93"/>
        <v>0</v>
      </c>
      <c r="AV152" s="169">
        <f t="shared" si="94"/>
        <v>0</v>
      </c>
      <c r="AW152" s="170">
        <f t="shared" si="95"/>
        <v>0</v>
      </c>
      <c r="AX152" s="167">
        <f t="shared" si="96"/>
        <v>0</v>
      </c>
      <c r="AY152" s="166">
        <f t="shared" si="97"/>
        <v>0</v>
      </c>
    </row>
    <row r="153" ht="15.75" customHeight="1">
      <c r="Z153" s="5"/>
      <c r="AA153" s="96"/>
      <c r="AB153" s="76" t="s">
        <v>27</v>
      </c>
      <c r="AC153" s="56">
        <f>IF('Ship Data Imperial'!E18&gt;0,'Ship Data Imperial'!E18,AS153)</f>
        <v>0</v>
      </c>
      <c r="AD153" s="168">
        <f t="shared" si="98"/>
        <v>0</v>
      </c>
      <c r="AE153" s="169">
        <f t="shared" si="99"/>
        <v>0</v>
      </c>
      <c r="AF153" s="170">
        <f t="shared" si="81"/>
        <v>0</v>
      </c>
      <c r="AG153" s="166">
        <f t="shared" si="82"/>
        <v>0</v>
      </c>
      <c r="AH153" s="167">
        <f t="shared" si="83"/>
        <v>0</v>
      </c>
      <c r="AI153" s="168">
        <f t="shared" si="84"/>
        <v>0</v>
      </c>
      <c r="AJ153" s="169">
        <f t="shared" si="85"/>
        <v>0</v>
      </c>
      <c r="AK153" s="170">
        <f t="shared" si="86"/>
        <v>0</v>
      </c>
      <c r="AL153" s="167">
        <f t="shared" si="87"/>
        <v>0</v>
      </c>
      <c r="AM153" s="166">
        <f t="shared" si="88"/>
        <v>0</v>
      </c>
      <c r="AN153" s="168">
        <f t="shared" si="89"/>
        <v>0</v>
      </c>
      <c r="AO153" s="169">
        <f t="shared" si="90"/>
        <v>0</v>
      </c>
      <c r="AP153" s="170">
        <f t="shared" si="91"/>
        <v>0</v>
      </c>
      <c r="AQ153" s="166">
        <f t="shared" si="92"/>
        <v>0</v>
      </c>
      <c r="AS153" s="56">
        <f>'Ship Data Metric'!E18*0.03280839895</f>
        <v>0</v>
      </c>
      <c r="AT153" s="96"/>
      <c r="AU153" s="168">
        <f t="shared" si="93"/>
        <v>0</v>
      </c>
      <c r="AV153" s="169">
        <f t="shared" si="94"/>
        <v>0</v>
      </c>
      <c r="AW153" s="170">
        <f t="shared" si="95"/>
        <v>0</v>
      </c>
      <c r="AX153" s="167">
        <f t="shared" si="96"/>
        <v>0</v>
      </c>
      <c r="AY153" s="166">
        <f t="shared" si="97"/>
        <v>0</v>
      </c>
    </row>
    <row r="154" ht="15.75" customHeight="1">
      <c r="Z154" s="5"/>
      <c r="AA154" s="96"/>
      <c r="AB154" s="76" t="s">
        <v>28</v>
      </c>
      <c r="AC154" s="56">
        <f>IF('Ship Data Imperial'!E19&gt;0,'Ship Data Imperial'!E19,AS154)</f>
        <v>0</v>
      </c>
      <c r="AD154" s="168">
        <f t="shared" si="98"/>
        <v>0</v>
      </c>
      <c r="AE154" s="169">
        <f t="shared" si="99"/>
        <v>0</v>
      </c>
      <c r="AF154" s="170">
        <f t="shared" si="81"/>
        <v>0</v>
      </c>
      <c r="AG154" s="166">
        <f t="shared" si="82"/>
        <v>0</v>
      </c>
      <c r="AH154" s="167">
        <f t="shared" si="83"/>
        <v>0</v>
      </c>
      <c r="AI154" s="168">
        <f t="shared" si="84"/>
        <v>0</v>
      </c>
      <c r="AJ154" s="169">
        <f t="shared" si="85"/>
        <v>0</v>
      </c>
      <c r="AK154" s="170">
        <f t="shared" si="86"/>
        <v>0</v>
      </c>
      <c r="AL154" s="167">
        <f t="shared" si="87"/>
        <v>0</v>
      </c>
      <c r="AM154" s="166">
        <f t="shared" si="88"/>
        <v>0</v>
      </c>
      <c r="AN154" s="168">
        <f t="shared" si="89"/>
        <v>0</v>
      </c>
      <c r="AO154" s="169">
        <f t="shared" si="90"/>
        <v>0</v>
      </c>
      <c r="AP154" s="170">
        <f t="shared" si="91"/>
        <v>0</v>
      </c>
      <c r="AQ154" s="166">
        <f t="shared" si="92"/>
        <v>0</v>
      </c>
      <c r="AS154" s="56">
        <f>'Ship Data Metric'!E19*0.03280839895</f>
        <v>0</v>
      </c>
      <c r="AT154" s="96"/>
      <c r="AU154" s="168">
        <f t="shared" si="93"/>
        <v>0</v>
      </c>
      <c r="AV154" s="169">
        <f t="shared" si="94"/>
        <v>0</v>
      </c>
      <c r="AW154" s="170">
        <f t="shared" si="95"/>
        <v>0</v>
      </c>
      <c r="AX154" s="167">
        <f t="shared" si="96"/>
        <v>0</v>
      </c>
      <c r="AY154" s="166">
        <f t="shared" si="97"/>
        <v>0</v>
      </c>
    </row>
    <row r="155" ht="15.75" customHeight="1">
      <c r="Z155" s="5"/>
      <c r="AA155" s="96"/>
      <c r="AB155" s="76" t="s">
        <v>29</v>
      </c>
      <c r="AC155" s="56">
        <f>IF('Ship Data Imperial'!E20&gt;0,'Ship Data Imperial'!E20,AS155)</f>
        <v>0</v>
      </c>
      <c r="AD155" s="168">
        <f t="shared" si="98"/>
        <v>0</v>
      </c>
      <c r="AE155" s="169">
        <f t="shared" si="99"/>
        <v>0</v>
      </c>
      <c r="AF155" s="170">
        <f t="shared" si="81"/>
        <v>0</v>
      </c>
      <c r="AG155" s="166">
        <f t="shared" si="82"/>
        <v>0</v>
      </c>
      <c r="AH155" s="167">
        <f t="shared" si="83"/>
        <v>0</v>
      </c>
      <c r="AI155" s="168">
        <f t="shared" si="84"/>
        <v>0</v>
      </c>
      <c r="AJ155" s="169">
        <f t="shared" si="85"/>
        <v>0</v>
      </c>
      <c r="AK155" s="170">
        <f t="shared" si="86"/>
        <v>0</v>
      </c>
      <c r="AL155" s="167">
        <f t="shared" si="87"/>
        <v>0</v>
      </c>
      <c r="AM155" s="166">
        <f t="shared" si="88"/>
        <v>0</v>
      </c>
      <c r="AN155" s="168">
        <f t="shared" si="89"/>
        <v>0</v>
      </c>
      <c r="AO155" s="169">
        <f t="shared" si="90"/>
        <v>0</v>
      </c>
      <c r="AP155" s="170">
        <f t="shared" si="91"/>
        <v>0</v>
      </c>
      <c r="AQ155" s="166">
        <f t="shared" si="92"/>
        <v>0</v>
      </c>
      <c r="AS155" s="56">
        <f>'Ship Data Metric'!E20*0.03280839895</f>
        <v>0</v>
      </c>
      <c r="AT155" s="96"/>
      <c r="AU155" s="168">
        <f t="shared" si="93"/>
        <v>0</v>
      </c>
      <c r="AV155" s="169">
        <f t="shared" si="94"/>
        <v>0</v>
      </c>
      <c r="AW155" s="170">
        <f t="shared" si="95"/>
        <v>0</v>
      </c>
      <c r="AX155" s="167">
        <f t="shared" si="96"/>
        <v>0</v>
      </c>
      <c r="AY155" s="166">
        <f t="shared" si="97"/>
        <v>0</v>
      </c>
    </row>
    <row r="156" ht="15.75" customHeight="1">
      <c r="Z156" s="5"/>
      <c r="AA156" s="75" t="s">
        <v>32</v>
      </c>
      <c r="AB156" s="76" t="s">
        <v>24</v>
      </c>
      <c r="AC156" s="56">
        <f>IF('Ship Data Imperial'!E21&gt;0,'Ship Data Imperial'!E21,AS156)</f>
        <v>0</v>
      </c>
      <c r="AD156" s="168">
        <f t="shared" si="98"/>
        <v>0</v>
      </c>
      <c r="AE156" s="169">
        <f t="shared" si="99"/>
        <v>0</v>
      </c>
      <c r="AF156" s="170">
        <f t="shared" si="81"/>
        <v>0</v>
      </c>
      <c r="AG156" s="166">
        <f t="shared" si="82"/>
        <v>0</v>
      </c>
      <c r="AH156" s="167">
        <f t="shared" si="83"/>
        <v>0</v>
      </c>
      <c r="AI156" s="168">
        <f t="shared" si="84"/>
        <v>0</v>
      </c>
      <c r="AJ156" s="169">
        <f t="shared" si="85"/>
        <v>0</v>
      </c>
      <c r="AK156" s="170">
        <f t="shared" si="86"/>
        <v>0</v>
      </c>
      <c r="AL156" s="167">
        <f t="shared" si="87"/>
        <v>0</v>
      </c>
      <c r="AM156" s="166">
        <f t="shared" si="88"/>
        <v>0</v>
      </c>
      <c r="AN156" s="168">
        <f t="shared" si="89"/>
        <v>0</v>
      </c>
      <c r="AO156" s="169">
        <f t="shared" si="90"/>
        <v>0</v>
      </c>
      <c r="AP156" s="170">
        <f t="shared" si="91"/>
        <v>0</v>
      </c>
      <c r="AQ156" s="166">
        <f t="shared" si="92"/>
        <v>0</v>
      </c>
      <c r="AS156" s="56">
        <f>'Ship Data Metric'!E21*0.03280839895</f>
        <v>0</v>
      </c>
      <c r="AT156" s="75" t="s">
        <v>32</v>
      </c>
      <c r="AU156" s="168">
        <f t="shared" si="93"/>
        <v>0</v>
      </c>
      <c r="AV156" s="169">
        <f t="shared" si="94"/>
        <v>0</v>
      </c>
      <c r="AW156" s="170">
        <f t="shared" si="95"/>
        <v>0</v>
      </c>
      <c r="AX156" s="167">
        <f t="shared" si="96"/>
        <v>0</v>
      </c>
      <c r="AY156" s="166">
        <f t="shared" si="97"/>
        <v>0</v>
      </c>
    </row>
    <row r="157" ht="15.75" customHeight="1">
      <c r="Z157" s="5"/>
      <c r="AA157" s="96"/>
      <c r="AB157" s="76" t="s">
        <v>25</v>
      </c>
      <c r="AC157" s="56">
        <f>IF('Ship Data Imperial'!E22&gt;0,'Ship Data Imperial'!E22,AS157)</f>
        <v>0</v>
      </c>
      <c r="AD157" s="168">
        <f t="shared" si="98"/>
        <v>0</v>
      </c>
      <c r="AE157" s="169">
        <f t="shared" si="99"/>
        <v>0</v>
      </c>
      <c r="AF157" s="170">
        <f t="shared" si="81"/>
        <v>0</v>
      </c>
      <c r="AG157" s="166">
        <f t="shared" si="82"/>
        <v>0</v>
      </c>
      <c r="AH157" s="167">
        <f t="shared" si="83"/>
        <v>0</v>
      </c>
      <c r="AI157" s="168">
        <f t="shared" si="84"/>
        <v>0</v>
      </c>
      <c r="AJ157" s="169">
        <f t="shared" si="85"/>
        <v>0</v>
      </c>
      <c r="AK157" s="170">
        <f t="shared" si="86"/>
        <v>0</v>
      </c>
      <c r="AL157" s="167">
        <f t="shared" si="87"/>
        <v>0</v>
      </c>
      <c r="AM157" s="166">
        <f t="shared" si="88"/>
        <v>0</v>
      </c>
      <c r="AN157" s="168">
        <f t="shared" si="89"/>
        <v>0</v>
      </c>
      <c r="AO157" s="169">
        <f t="shared" si="90"/>
        <v>0</v>
      </c>
      <c r="AP157" s="170">
        <f t="shared" si="91"/>
        <v>0</v>
      </c>
      <c r="AQ157" s="166">
        <f t="shared" si="92"/>
        <v>0</v>
      </c>
      <c r="AS157" s="56">
        <f>'Ship Data Metric'!E22*0.03280839895</f>
        <v>0</v>
      </c>
      <c r="AT157" s="96"/>
      <c r="AU157" s="168">
        <f t="shared" si="93"/>
        <v>0</v>
      </c>
      <c r="AV157" s="169">
        <f t="shared" si="94"/>
        <v>0</v>
      </c>
      <c r="AW157" s="170">
        <f t="shared" si="95"/>
        <v>0</v>
      </c>
      <c r="AX157" s="167">
        <f t="shared" si="96"/>
        <v>0</v>
      </c>
      <c r="AY157" s="166">
        <f t="shared" si="97"/>
        <v>0</v>
      </c>
    </row>
    <row r="158" ht="15.75" customHeight="1">
      <c r="Z158" s="5"/>
      <c r="AA158" s="96"/>
      <c r="AB158" s="76" t="s">
        <v>26</v>
      </c>
      <c r="AC158" s="56">
        <f>IF('Ship Data Imperial'!E23&gt;0,'Ship Data Imperial'!E23,AS158)</f>
        <v>0</v>
      </c>
      <c r="AD158" s="168">
        <f t="shared" si="98"/>
        <v>0</v>
      </c>
      <c r="AE158" s="169">
        <f t="shared" si="99"/>
        <v>0</v>
      </c>
      <c r="AF158" s="170">
        <f t="shared" si="81"/>
        <v>0</v>
      </c>
      <c r="AG158" s="166">
        <f t="shared" si="82"/>
        <v>0</v>
      </c>
      <c r="AH158" s="167">
        <f t="shared" si="83"/>
        <v>0</v>
      </c>
      <c r="AI158" s="168">
        <f t="shared" si="84"/>
        <v>0</v>
      </c>
      <c r="AJ158" s="169">
        <f t="shared" si="85"/>
        <v>0</v>
      </c>
      <c r="AK158" s="170">
        <f t="shared" si="86"/>
        <v>0</v>
      </c>
      <c r="AL158" s="167">
        <f t="shared" si="87"/>
        <v>0</v>
      </c>
      <c r="AM158" s="166">
        <f t="shared" si="88"/>
        <v>0</v>
      </c>
      <c r="AN158" s="168">
        <f t="shared" si="89"/>
        <v>0</v>
      </c>
      <c r="AO158" s="169">
        <f t="shared" si="90"/>
        <v>0</v>
      </c>
      <c r="AP158" s="170">
        <f t="shared" si="91"/>
        <v>0</v>
      </c>
      <c r="AQ158" s="166">
        <f t="shared" si="92"/>
        <v>0</v>
      </c>
      <c r="AS158" s="56">
        <f>'Ship Data Metric'!E23*0.03280839895</f>
        <v>0</v>
      </c>
      <c r="AT158" s="96"/>
      <c r="AU158" s="168">
        <f t="shared" si="93"/>
        <v>0</v>
      </c>
      <c r="AV158" s="169">
        <f t="shared" si="94"/>
        <v>0</v>
      </c>
      <c r="AW158" s="170">
        <f t="shared" si="95"/>
        <v>0</v>
      </c>
      <c r="AX158" s="167">
        <f t="shared" si="96"/>
        <v>0</v>
      </c>
      <c r="AY158" s="166">
        <f t="shared" si="97"/>
        <v>0</v>
      </c>
    </row>
    <row r="159" ht="15.75" customHeight="1">
      <c r="Z159" s="5"/>
      <c r="AA159" s="96"/>
      <c r="AB159" s="76" t="s">
        <v>27</v>
      </c>
      <c r="AC159" s="56">
        <f>IF('Ship Data Imperial'!E24&gt;0,'Ship Data Imperial'!E24,AS159)</f>
        <v>0</v>
      </c>
      <c r="AD159" s="168">
        <f t="shared" si="98"/>
        <v>0</v>
      </c>
      <c r="AE159" s="169">
        <f t="shared" si="99"/>
        <v>0</v>
      </c>
      <c r="AF159" s="170">
        <f t="shared" si="81"/>
        <v>0</v>
      </c>
      <c r="AG159" s="166">
        <f t="shared" si="82"/>
        <v>0</v>
      </c>
      <c r="AH159" s="167">
        <f t="shared" si="83"/>
        <v>0</v>
      </c>
      <c r="AI159" s="168">
        <f t="shared" si="84"/>
        <v>0</v>
      </c>
      <c r="AJ159" s="169">
        <f t="shared" si="85"/>
        <v>0</v>
      </c>
      <c r="AK159" s="170">
        <f t="shared" si="86"/>
        <v>0</v>
      </c>
      <c r="AL159" s="167">
        <f t="shared" si="87"/>
        <v>0</v>
      </c>
      <c r="AM159" s="166">
        <f t="shared" si="88"/>
        <v>0</v>
      </c>
      <c r="AN159" s="168">
        <f t="shared" si="89"/>
        <v>0</v>
      </c>
      <c r="AO159" s="169">
        <f t="shared" si="90"/>
        <v>0</v>
      </c>
      <c r="AP159" s="170">
        <f t="shared" si="91"/>
        <v>0</v>
      </c>
      <c r="AQ159" s="166">
        <f t="shared" si="92"/>
        <v>0</v>
      </c>
      <c r="AS159" s="56">
        <f>'Ship Data Metric'!E24*0.03280839895</f>
        <v>0</v>
      </c>
      <c r="AT159" s="96"/>
      <c r="AU159" s="168">
        <f t="shared" si="93"/>
        <v>0</v>
      </c>
      <c r="AV159" s="169">
        <f t="shared" si="94"/>
        <v>0</v>
      </c>
      <c r="AW159" s="170">
        <f t="shared" si="95"/>
        <v>0</v>
      </c>
      <c r="AX159" s="167">
        <f t="shared" si="96"/>
        <v>0</v>
      </c>
      <c r="AY159" s="166">
        <f t="shared" si="97"/>
        <v>0</v>
      </c>
    </row>
    <row r="160" ht="15.75" customHeight="1">
      <c r="Z160" s="5"/>
      <c r="AA160" s="96"/>
      <c r="AB160" s="76" t="s">
        <v>28</v>
      </c>
      <c r="AC160" s="56">
        <f>IF('Ship Data Imperial'!E25&gt;0,'Ship Data Imperial'!E25,AS160)</f>
        <v>0</v>
      </c>
      <c r="AD160" s="168">
        <f t="shared" si="98"/>
        <v>0</v>
      </c>
      <c r="AE160" s="169">
        <f t="shared" si="99"/>
        <v>0</v>
      </c>
      <c r="AF160" s="170">
        <f t="shared" si="81"/>
        <v>0</v>
      </c>
      <c r="AG160" s="166">
        <f t="shared" si="82"/>
        <v>0</v>
      </c>
      <c r="AH160" s="167">
        <f t="shared" si="83"/>
        <v>0</v>
      </c>
      <c r="AI160" s="168">
        <f t="shared" si="84"/>
        <v>0</v>
      </c>
      <c r="AJ160" s="169">
        <f t="shared" si="85"/>
        <v>0</v>
      </c>
      <c r="AK160" s="170">
        <f t="shared" si="86"/>
        <v>0</v>
      </c>
      <c r="AL160" s="167">
        <f t="shared" si="87"/>
        <v>0</v>
      </c>
      <c r="AM160" s="166">
        <f t="shared" si="88"/>
        <v>0</v>
      </c>
      <c r="AN160" s="168">
        <f t="shared" si="89"/>
        <v>0</v>
      </c>
      <c r="AO160" s="169">
        <f t="shared" si="90"/>
        <v>0</v>
      </c>
      <c r="AP160" s="170">
        <f t="shared" si="91"/>
        <v>0</v>
      </c>
      <c r="AQ160" s="166">
        <f t="shared" si="92"/>
        <v>0</v>
      </c>
      <c r="AS160" s="56">
        <f>'Ship Data Metric'!E25*0.03280839895</f>
        <v>0</v>
      </c>
      <c r="AT160" s="96"/>
      <c r="AU160" s="168">
        <f t="shared" si="93"/>
        <v>0</v>
      </c>
      <c r="AV160" s="169">
        <f t="shared" si="94"/>
        <v>0</v>
      </c>
      <c r="AW160" s="170">
        <f t="shared" si="95"/>
        <v>0</v>
      </c>
      <c r="AX160" s="167">
        <f t="shared" si="96"/>
        <v>0</v>
      </c>
      <c r="AY160" s="166">
        <f t="shared" si="97"/>
        <v>0</v>
      </c>
    </row>
    <row r="161" ht="15.75" customHeight="1">
      <c r="Z161" s="5"/>
      <c r="AA161" s="96"/>
      <c r="AB161" s="76" t="s">
        <v>29</v>
      </c>
      <c r="AC161" s="56">
        <f>IF('Ship Data Imperial'!E26&gt;0,'Ship Data Imperial'!E26,AS161)</f>
        <v>0</v>
      </c>
      <c r="AD161" s="168">
        <f t="shared" si="98"/>
        <v>0</v>
      </c>
      <c r="AE161" s="169">
        <f t="shared" si="99"/>
        <v>0</v>
      </c>
      <c r="AF161" s="170">
        <f t="shared" si="81"/>
        <v>0</v>
      </c>
      <c r="AG161" s="166">
        <f t="shared" si="82"/>
        <v>0</v>
      </c>
      <c r="AH161" s="167">
        <f t="shared" si="83"/>
        <v>0</v>
      </c>
      <c r="AI161" s="168">
        <f t="shared" si="84"/>
        <v>0</v>
      </c>
      <c r="AJ161" s="169">
        <f t="shared" si="85"/>
        <v>0</v>
      </c>
      <c r="AK161" s="170">
        <f t="shared" si="86"/>
        <v>0</v>
      </c>
      <c r="AL161" s="167">
        <f t="shared" si="87"/>
        <v>0</v>
      </c>
      <c r="AM161" s="166">
        <f t="shared" si="88"/>
        <v>0</v>
      </c>
      <c r="AN161" s="168">
        <f t="shared" si="89"/>
        <v>0</v>
      </c>
      <c r="AO161" s="169">
        <f t="shared" si="90"/>
        <v>0</v>
      </c>
      <c r="AP161" s="170">
        <f t="shared" si="91"/>
        <v>0</v>
      </c>
      <c r="AQ161" s="166">
        <f t="shared" si="92"/>
        <v>0</v>
      </c>
      <c r="AS161" s="56">
        <f>'Ship Data Metric'!E26*0.03280839895</f>
        <v>0</v>
      </c>
      <c r="AT161" s="96"/>
      <c r="AU161" s="168">
        <f t="shared" si="93"/>
        <v>0</v>
      </c>
      <c r="AV161" s="169">
        <f t="shared" si="94"/>
        <v>0</v>
      </c>
      <c r="AW161" s="170">
        <f t="shared" si="95"/>
        <v>0</v>
      </c>
      <c r="AX161" s="167">
        <f t="shared" si="96"/>
        <v>0</v>
      </c>
      <c r="AY161" s="166">
        <f t="shared" si="97"/>
        <v>0</v>
      </c>
    </row>
    <row r="162" ht="15.75" customHeight="1">
      <c r="Z162" s="5"/>
      <c r="AA162" s="75" t="s">
        <v>33</v>
      </c>
      <c r="AB162" s="76" t="s">
        <v>24</v>
      </c>
      <c r="AC162" s="56">
        <f>IF('Ship Data Imperial'!E27&gt;0,'Ship Data Imperial'!E27,AS162)</f>
        <v>0</v>
      </c>
      <c r="AD162" s="168">
        <f t="shared" si="98"/>
        <v>0</v>
      </c>
      <c r="AE162" s="169">
        <f t="shared" si="99"/>
        <v>0</v>
      </c>
      <c r="AF162" s="170">
        <f t="shared" si="81"/>
        <v>0</v>
      </c>
      <c r="AG162" s="166">
        <f t="shared" si="82"/>
        <v>0</v>
      </c>
      <c r="AH162" s="167">
        <f t="shared" si="83"/>
        <v>0</v>
      </c>
      <c r="AI162" s="168">
        <f t="shared" si="84"/>
        <v>0</v>
      </c>
      <c r="AJ162" s="169">
        <f t="shared" si="85"/>
        <v>0</v>
      </c>
      <c r="AK162" s="170">
        <f t="shared" si="86"/>
        <v>0</v>
      </c>
      <c r="AL162" s="167">
        <f t="shared" si="87"/>
        <v>0</v>
      </c>
      <c r="AM162" s="166">
        <f t="shared" si="88"/>
        <v>0</v>
      </c>
      <c r="AN162" s="168">
        <f t="shared" si="89"/>
        <v>0</v>
      </c>
      <c r="AO162" s="169">
        <f t="shared" si="90"/>
        <v>0</v>
      </c>
      <c r="AP162" s="170">
        <f t="shared" si="91"/>
        <v>0</v>
      </c>
      <c r="AQ162" s="166">
        <f t="shared" si="92"/>
        <v>0</v>
      </c>
      <c r="AS162" s="56">
        <f>'Ship Data Metric'!E27*0.03280839895</f>
        <v>0</v>
      </c>
      <c r="AT162" s="75" t="s">
        <v>33</v>
      </c>
      <c r="AU162" s="168">
        <f t="shared" si="93"/>
        <v>0</v>
      </c>
      <c r="AV162" s="169">
        <f t="shared" si="94"/>
        <v>0</v>
      </c>
      <c r="AW162" s="170">
        <f t="shared" si="95"/>
        <v>0</v>
      </c>
      <c r="AX162" s="167">
        <f t="shared" si="96"/>
        <v>0</v>
      </c>
      <c r="AY162" s="166">
        <f t="shared" si="97"/>
        <v>0</v>
      </c>
    </row>
    <row r="163" ht="15.75" customHeight="1">
      <c r="Z163" s="5"/>
      <c r="AA163" s="96"/>
      <c r="AB163" s="76" t="s">
        <v>25</v>
      </c>
      <c r="AC163" s="56">
        <f>IF('Ship Data Imperial'!E28&gt;0,'Ship Data Imperial'!E28,AS163)</f>
        <v>0</v>
      </c>
      <c r="AD163" s="168">
        <f t="shared" si="98"/>
        <v>0</v>
      </c>
      <c r="AE163" s="169">
        <f t="shared" si="99"/>
        <v>0</v>
      </c>
      <c r="AF163" s="170">
        <f t="shared" si="81"/>
        <v>0</v>
      </c>
      <c r="AG163" s="166">
        <f t="shared" si="82"/>
        <v>0</v>
      </c>
      <c r="AH163" s="167">
        <f t="shared" si="83"/>
        <v>0</v>
      </c>
      <c r="AI163" s="168">
        <f t="shared" si="84"/>
        <v>0</v>
      </c>
      <c r="AJ163" s="169">
        <f t="shared" si="85"/>
        <v>0</v>
      </c>
      <c r="AK163" s="170">
        <f t="shared" si="86"/>
        <v>0</v>
      </c>
      <c r="AL163" s="167">
        <f t="shared" si="87"/>
        <v>0</v>
      </c>
      <c r="AM163" s="166">
        <f t="shared" si="88"/>
        <v>0</v>
      </c>
      <c r="AN163" s="168">
        <f t="shared" si="89"/>
        <v>0</v>
      </c>
      <c r="AO163" s="169">
        <f t="shared" si="90"/>
        <v>0</v>
      </c>
      <c r="AP163" s="170">
        <f t="shared" si="91"/>
        <v>0</v>
      </c>
      <c r="AQ163" s="166">
        <f t="shared" si="92"/>
        <v>0</v>
      </c>
      <c r="AS163" s="56">
        <f>'Ship Data Metric'!E28*0.03280839895</f>
        <v>0</v>
      </c>
      <c r="AT163" s="96"/>
      <c r="AU163" s="168">
        <f t="shared" si="93"/>
        <v>0</v>
      </c>
      <c r="AV163" s="169">
        <f t="shared" si="94"/>
        <v>0</v>
      </c>
      <c r="AW163" s="170">
        <f t="shared" si="95"/>
        <v>0</v>
      </c>
      <c r="AX163" s="167">
        <f t="shared" si="96"/>
        <v>0</v>
      </c>
      <c r="AY163" s="166">
        <f t="shared" si="97"/>
        <v>0</v>
      </c>
    </row>
    <row r="164" ht="15.75" customHeight="1">
      <c r="Z164" s="5"/>
      <c r="AA164" s="96"/>
      <c r="AB164" s="76" t="s">
        <v>26</v>
      </c>
      <c r="AC164" s="56">
        <f>IF('Ship Data Imperial'!E29&gt;0,'Ship Data Imperial'!E29,AS164)</f>
        <v>0</v>
      </c>
      <c r="AD164" s="168">
        <f t="shared" si="98"/>
        <v>0</v>
      </c>
      <c r="AE164" s="169">
        <f t="shared" si="99"/>
        <v>0</v>
      </c>
      <c r="AF164" s="170">
        <f t="shared" si="81"/>
        <v>0</v>
      </c>
      <c r="AG164" s="166">
        <f t="shared" si="82"/>
        <v>0</v>
      </c>
      <c r="AH164" s="167">
        <f t="shared" si="83"/>
        <v>0</v>
      </c>
      <c r="AI164" s="168">
        <f t="shared" si="84"/>
        <v>0</v>
      </c>
      <c r="AJ164" s="169">
        <f t="shared" si="85"/>
        <v>0</v>
      </c>
      <c r="AK164" s="170">
        <f t="shared" si="86"/>
        <v>0</v>
      </c>
      <c r="AL164" s="167">
        <f t="shared" si="87"/>
        <v>0</v>
      </c>
      <c r="AM164" s="166">
        <f t="shared" si="88"/>
        <v>0</v>
      </c>
      <c r="AN164" s="168">
        <f t="shared" si="89"/>
        <v>0</v>
      </c>
      <c r="AO164" s="169">
        <f t="shared" si="90"/>
        <v>0</v>
      </c>
      <c r="AP164" s="170">
        <f t="shared" si="91"/>
        <v>0</v>
      </c>
      <c r="AQ164" s="166">
        <f t="shared" si="92"/>
        <v>0</v>
      </c>
      <c r="AS164" s="56">
        <f>'Ship Data Metric'!E29*0.03280839895</f>
        <v>0</v>
      </c>
      <c r="AT164" s="96"/>
      <c r="AU164" s="168">
        <f t="shared" si="93"/>
        <v>0</v>
      </c>
      <c r="AV164" s="169">
        <f t="shared" si="94"/>
        <v>0</v>
      </c>
      <c r="AW164" s="170">
        <f t="shared" si="95"/>
        <v>0</v>
      </c>
      <c r="AX164" s="167">
        <f t="shared" si="96"/>
        <v>0</v>
      </c>
      <c r="AY164" s="166">
        <f t="shared" si="97"/>
        <v>0</v>
      </c>
    </row>
    <row r="165" ht="15.75" customHeight="1">
      <c r="Z165" s="5"/>
      <c r="AA165" s="96"/>
      <c r="AB165" s="76" t="s">
        <v>27</v>
      </c>
      <c r="AC165" s="56">
        <f>IF('Ship Data Imperial'!E30&gt;0,'Ship Data Imperial'!E30,AS165)</f>
        <v>0</v>
      </c>
      <c r="AD165" s="168">
        <f t="shared" si="98"/>
        <v>0</v>
      </c>
      <c r="AE165" s="169">
        <f t="shared" si="99"/>
        <v>0</v>
      </c>
      <c r="AF165" s="170">
        <f t="shared" si="81"/>
        <v>0</v>
      </c>
      <c r="AG165" s="166">
        <f t="shared" si="82"/>
        <v>0</v>
      </c>
      <c r="AH165" s="167">
        <f t="shared" si="83"/>
        <v>0</v>
      </c>
      <c r="AI165" s="168">
        <f t="shared" si="84"/>
        <v>0</v>
      </c>
      <c r="AJ165" s="169">
        <f t="shared" si="85"/>
        <v>0</v>
      </c>
      <c r="AK165" s="170">
        <f t="shared" si="86"/>
        <v>0</v>
      </c>
      <c r="AL165" s="167">
        <f t="shared" si="87"/>
        <v>0</v>
      </c>
      <c r="AM165" s="166">
        <f t="shared" si="88"/>
        <v>0</v>
      </c>
      <c r="AN165" s="168">
        <f t="shared" si="89"/>
        <v>0</v>
      </c>
      <c r="AO165" s="169">
        <f t="shared" si="90"/>
        <v>0</v>
      </c>
      <c r="AP165" s="170">
        <f t="shared" si="91"/>
        <v>0</v>
      </c>
      <c r="AQ165" s="166">
        <f t="shared" si="92"/>
        <v>0</v>
      </c>
      <c r="AS165" s="56">
        <f>'Ship Data Metric'!E30*0.03280839895</f>
        <v>0</v>
      </c>
      <c r="AT165" s="96"/>
      <c r="AU165" s="168">
        <f t="shared" si="93"/>
        <v>0</v>
      </c>
      <c r="AV165" s="169">
        <f t="shared" si="94"/>
        <v>0</v>
      </c>
      <c r="AW165" s="170">
        <f t="shared" si="95"/>
        <v>0</v>
      </c>
      <c r="AX165" s="167">
        <f t="shared" si="96"/>
        <v>0</v>
      </c>
      <c r="AY165" s="166">
        <f t="shared" si="97"/>
        <v>0</v>
      </c>
    </row>
    <row r="166" ht="15.75" customHeight="1">
      <c r="Z166" s="5"/>
      <c r="AA166" s="96"/>
      <c r="AB166" s="76" t="s">
        <v>28</v>
      </c>
      <c r="AC166" s="56">
        <f>IF('Ship Data Imperial'!E31&gt;0,'Ship Data Imperial'!E31,AS166)</f>
        <v>0</v>
      </c>
      <c r="AD166" s="168">
        <f t="shared" si="98"/>
        <v>0</v>
      </c>
      <c r="AE166" s="169">
        <f t="shared" si="99"/>
        <v>0</v>
      </c>
      <c r="AF166" s="170">
        <f t="shared" si="81"/>
        <v>0</v>
      </c>
      <c r="AG166" s="166">
        <f t="shared" si="82"/>
        <v>0</v>
      </c>
      <c r="AH166" s="167">
        <f t="shared" si="83"/>
        <v>0</v>
      </c>
      <c r="AI166" s="168">
        <f t="shared" si="84"/>
        <v>0</v>
      </c>
      <c r="AJ166" s="169">
        <f t="shared" si="85"/>
        <v>0</v>
      </c>
      <c r="AK166" s="170">
        <f t="shared" si="86"/>
        <v>0</v>
      </c>
      <c r="AL166" s="167">
        <f t="shared" si="87"/>
        <v>0</v>
      </c>
      <c r="AM166" s="166">
        <f t="shared" si="88"/>
        <v>0</v>
      </c>
      <c r="AN166" s="168">
        <f t="shared" si="89"/>
        <v>0</v>
      </c>
      <c r="AO166" s="169">
        <f t="shared" si="90"/>
        <v>0</v>
      </c>
      <c r="AP166" s="170">
        <f t="shared" si="91"/>
        <v>0</v>
      </c>
      <c r="AQ166" s="166">
        <f t="shared" si="92"/>
        <v>0</v>
      </c>
      <c r="AS166" s="56">
        <f>'Ship Data Metric'!E31*0.03280839895</f>
        <v>0</v>
      </c>
      <c r="AT166" s="96"/>
      <c r="AU166" s="168">
        <f t="shared" si="93"/>
        <v>0</v>
      </c>
      <c r="AV166" s="169">
        <f t="shared" si="94"/>
        <v>0</v>
      </c>
      <c r="AW166" s="170">
        <f t="shared" si="95"/>
        <v>0</v>
      </c>
      <c r="AX166" s="167">
        <f t="shared" si="96"/>
        <v>0</v>
      </c>
      <c r="AY166" s="166">
        <f t="shared" si="97"/>
        <v>0</v>
      </c>
    </row>
    <row r="167" ht="15.75" customHeight="1">
      <c r="Z167" s="5"/>
      <c r="AA167" s="96"/>
      <c r="AB167" s="76" t="s">
        <v>29</v>
      </c>
      <c r="AC167" s="56">
        <f>IF('Ship Data Imperial'!E32&gt;0,'Ship Data Imperial'!E32,AS167)</f>
        <v>0</v>
      </c>
      <c r="AD167" s="168">
        <f t="shared" si="98"/>
        <v>0</v>
      </c>
      <c r="AE167" s="169">
        <f t="shared" si="99"/>
        <v>0</v>
      </c>
      <c r="AF167" s="170">
        <f t="shared" si="81"/>
        <v>0</v>
      </c>
      <c r="AG167" s="166">
        <f t="shared" si="82"/>
        <v>0</v>
      </c>
      <c r="AH167" s="167">
        <f t="shared" si="83"/>
        <v>0</v>
      </c>
      <c r="AI167" s="168">
        <f t="shared" si="84"/>
        <v>0</v>
      </c>
      <c r="AJ167" s="169">
        <f t="shared" si="85"/>
        <v>0</v>
      </c>
      <c r="AK167" s="170">
        <f t="shared" si="86"/>
        <v>0</v>
      </c>
      <c r="AL167" s="167">
        <f t="shared" si="87"/>
        <v>0</v>
      </c>
      <c r="AM167" s="166">
        <f t="shared" si="88"/>
        <v>0</v>
      </c>
      <c r="AN167" s="168">
        <f t="shared" si="89"/>
        <v>0</v>
      </c>
      <c r="AO167" s="169">
        <f t="shared" si="90"/>
        <v>0</v>
      </c>
      <c r="AP167" s="170">
        <f t="shared" si="91"/>
        <v>0</v>
      </c>
      <c r="AQ167" s="166">
        <f t="shared" si="92"/>
        <v>0</v>
      </c>
      <c r="AS167" s="56">
        <f>'Ship Data Metric'!E32*0.03280839895</f>
        <v>0</v>
      </c>
      <c r="AT167" s="96"/>
      <c r="AU167" s="168">
        <f t="shared" si="93"/>
        <v>0</v>
      </c>
      <c r="AV167" s="169">
        <f t="shared" si="94"/>
        <v>0</v>
      </c>
      <c r="AW167" s="170">
        <f t="shared" si="95"/>
        <v>0</v>
      </c>
      <c r="AX167" s="167">
        <f t="shared" si="96"/>
        <v>0</v>
      </c>
      <c r="AY167" s="166">
        <f t="shared" si="97"/>
        <v>0</v>
      </c>
    </row>
    <row r="168" ht="15.75" customHeight="1">
      <c r="Z168" s="5"/>
      <c r="AA168" s="75" t="s">
        <v>34</v>
      </c>
      <c r="AB168" s="76" t="s">
        <v>24</v>
      </c>
      <c r="AC168" s="56">
        <f>IF('Ship Data Imperial'!E33&gt;0,'Ship Data Imperial'!E33,AS168)</f>
        <v>0</v>
      </c>
      <c r="AD168" s="168">
        <f t="shared" si="98"/>
        <v>0</v>
      </c>
      <c r="AE168" s="169">
        <f t="shared" si="99"/>
        <v>0</v>
      </c>
      <c r="AF168" s="170">
        <f t="shared" si="81"/>
        <v>0</v>
      </c>
      <c r="AG168" s="166">
        <f t="shared" si="82"/>
        <v>0</v>
      </c>
      <c r="AH168" s="167">
        <f t="shared" si="83"/>
        <v>0</v>
      </c>
      <c r="AI168" s="168">
        <f t="shared" si="84"/>
        <v>0</v>
      </c>
      <c r="AJ168" s="169">
        <f t="shared" si="85"/>
        <v>0</v>
      </c>
      <c r="AK168" s="170">
        <f t="shared" si="86"/>
        <v>0</v>
      </c>
      <c r="AL168" s="167">
        <f t="shared" si="87"/>
        <v>0</v>
      </c>
      <c r="AM168" s="166">
        <f t="shared" si="88"/>
        <v>0</v>
      </c>
      <c r="AN168" s="168">
        <f t="shared" si="89"/>
        <v>0</v>
      </c>
      <c r="AO168" s="169">
        <f t="shared" si="90"/>
        <v>0</v>
      </c>
      <c r="AP168" s="170">
        <f t="shared" si="91"/>
        <v>0</v>
      </c>
      <c r="AQ168" s="166">
        <f t="shared" si="92"/>
        <v>0</v>
      </c>
      <c r="AS168" s="56">
        <f>'Ship Data Metric'!E33*0.03280839895</f>
        <v>0</v>
      </c>
      <c r="AT168" s="75" t="s">
        <v>34</v>
      </c>
      <c r="AU168" s="168">
        <f t="shared" si="93"/>
        <v>0</v>
      </c>
      <c r="AV168" s="169">
        <f t="shared" si="94"/>
        <v>0</v>
      </c>
      <c r="AW168" s="170">
        <f t="shared" si="95"/>
        <v>0</v>
      </c>
      <c r="AX168" s="167">
        <f t="shared" si="96"/>
        <v>0</v>
      </c>
      <c r="AY168" s="166">
        <f t="shared" si="97"/>
        <v>0</v>
      </c>
    </row>
    <row r="169" ht="15.75" customHeight="1">
      <c r="Z169" s="5"/>
      <c r="AA169" s="96"/>
      <c r="AB169" s="76" t="s">
        <v>25</v>
      </c>
      <c r="AC169" s="56">
        <f>IF('Ship Data Imperial'!E34&gt;0,'Ship Data Imperial'!E34,AS169)</f>
        <v>0</v>
      </c>
      <c r="AD169" s="168">
        <f t="shared" si="98"/>
        <v>0</v>
      </c>
      <c r="AE169" s="169">
        <f t="shared" si="99"/>
        <v>0</v>
      </c>
      <c r="AF169" s="170">
        <f t="shared" si="81"/>
        <v>0</v>
      </c>
      <c r="AG169" s="166">
        <f t="shared" si="82"/>
        <v>0</v>
      </c>
      <c r="AH169" s="167">
        <f t="shared" si="83"/>
        <v>0</v>
      </c>
      <c r="AI169" s="168">
        <f t="shared" si="84"/>
        <v>0</v>
      </c>
      <c r="AJ169" s="169">
        <f t="shared" si="85"/>
        <v>0</v>
      </c>
      <c r="AK169" s="170">
        <f t="shared" si="86"/>
        <v>0</v>
      </c>
      <c r="AL169" s="167">
        <f t="shared" si="87"/>
        <v>0</v>
      </c>
      <c r="AM169" s="166">
        <f t="shared" si="88"/>
        <v>0</v>
      </c>
      <c r="AN169" s="168">
        <f t="shared" si="89"/>
        <v>0</v>
      </c>
      <c r="AO169" s="169">
        <f t="shared" si="90"/>
        <v>0</v>
      </c>
      <c r="AP169" s="170">
        <f t="shared" si="91"/>
        <v>0</v>
      </c>
      <c r="AQ169" s="166">
        <f t="shared" si="92"/>
        <v>0</v>
      </c>
      <c r="AS169" s="56">
        <f>'Ship Data Metric'!E34*0.03280839895</f>
        <v>0</v>
      </c>
      <c r="AT169" s="96"/>
      <c r="AU169" s="168">
        <f t="shared" si="93"/>
        <v>0</v>
      </c>
      <c r="AV169" s="169">
        <f t="shared" si="94"/>
        <v>0</v>
      </c>
      <c r="AW169" s="170">
        <f t="shared" si="95"/>
        <v>0</v>
      </c>
      <c r="AX169" s="167">
        <f t="shared" si="96"/>
        <v>0</v>
      </c>
      <c r="AY169" s="166">
        <f t="shared" si="97"/>
        <v>0</v>
      </c>
    </row>
    <row r="170" ht="15.75" customHeight="1">
      <c r="Z170" s="5"/>
      <c r="AA170" s="96"/>
      <c r="AB170" s="76" t="s">
        <v>26</v>
      </c>
      <c r="AC170" s="56">
        <f>IF('Ship Data Imperial'!E35&gt;0,'Ship Data Imperial'!E35,AS170)</f>
        <v>0</v>
      </c>
      <c r="AD170" s="168">
        <f t="shared" si="98"/>
        <v>0</v>
      </c>
      <c r="AE170" s="169">
        <f t="shared" si="99"/>
        <v>0</v>
      </c>
      <c r="AF170" s="170">
        <f t="shared" si="81"/>
        <v>0</v>
      </c>
      <c r="AG170" s="166">
        <f t="shared" si="82"/>
        <v>0</v>
      </c>
      <c r="AH170" s="167">
        <f t="shared" si="83"/>
        <v>0</v>
      </c>
      <c r="AI170" s="168">
        <f t="shared" si="84"/>
        <v>0</v>
      </c>
      <c r="AJ170" s="169">
        <f t="shared" si="85"/>
        <v>0</v>
      </c>
      <c r="AK170" s="170">
        <f t="shared" si="86"/>
        <v>0</v>
      </c>
      <c r="AL170" s="167">
        <f t="shared" si="87"/>
        <v>0</v>
      </c>
      <c r="AM170" s="166">
        <f t="shared" si="88"/>
        <v>0</v>
      </c>
      <c r="AN170" s="168">
        <f t="shared" si="89"/>
        <v>0</v>
      </c>
      <c r="AO170" s="169">
        <f t="shared" si="90"/>
        <v>0</v>
      </c>
      <c r="AP170" s="170">
        <f t="shared" si="91"/>
        <v>0</v>
      </c>
      <c r="AQ170" s="166">
        <f t="shared" si="92"/>
        <v>0</v>
      </c>
      <c r="AS170" s="56">
        <f>'Ship Data Metric'!E35*0.03280839895</f>
        <v>0</v>
      </c>
      <c r="AT170" s="96"/>
      <c r="AU170" s="168">
        <f t="shared" si="93"/>
        <v>0</v>
      </c>
      <c r="AV170" s="169">
        <f t="shared" si="94"/>
        <v>0</v>
      </c>
      <c r="AW170" s="170">
        <f t="shared" si="95"/>
        <v>0</v>
      </c>
      <c r="AX170" s="167">
        <f t="shared" si="96"/>
        <v>0</v>
      </c>
      <c r="AY170" s="166">
        <f t="shared" si="97"/>
        <v>0</v>
      </c>
    </row>
    <row r="171" ht="15.75" customHeight="1">
      <c r="Z171" s="5"/>
      <c r="AA171" s="96"/>
      <c r="AB171" s="76" t="s">
        <v>27</v>
      </c>
      <c r="AC171" s="56">
        <f>IF('Ship Data Imperial'!E36&gt;0,'Ship Data Imperial'!E36,AS171)</f>
        <v>0</v>
      </c>
      <c r="AD171" s="168">
        <f t="shared" si="98"/>
        <v>0</v>
      </c>
      <c r="AE171" s="169">
        <f t="shared" si="99"/>
        <v>0</v>
      </c>
      <c r="AF171" s="170">
        <f t="shared" si="81"/>
        <v>0</v>
      </c>
      <c r="AG171" s="166">
        <f t="shared" si="82"/>
        <v>0</v>
      </c>
      <c r="AH171" s="167">
        <f t="shared" si="83"/>
        <v>0</v>
      </c>
      <c r="AI171" s="168">
        <f t="shared" si="84"/>
        <v>0</v>
      </c>
      <c r="AJ171" s="169">
        <f t="shared" si="85"/>
        <v>0</v>
      </c>
      <c r="AK171" s="170">
        <f t="shared" si="86"/>
        <v>0</v>
      </c>
      <c r="AL171" s="167">
        <f t="shared" si="87"/>
        <v>0</v>
      </c>
      <c r="AM171" s="166">
        <f t="shared" si="88"/>
        <v>0</v>
      </c>
      <c r="AN171" s="168">
        <f t="shared" si="89"/>
        <v>0</v>
      </c>
      <c r="AO171" s="169">
        <f t="shared" si="90"/>
        <v>0</v>
      </c>
      <c r="AP171" s="170">
        <f t="shared" si="91"/>
        <v>0</v>
      </c>
      <c r="AQ171" s="166">
        <f t="shared" si="92"/>
        <v>0</v>
      </c>
      <c r="AS171" s="56">
        <f>'Ship Data Metric'!E36*0.03280839895</f>
        <v>0</v>
      </c>
      <c r="AT171" s="96"/>
      <c r="AU171" s="168">
        <f t="shared" si="93"/>
        <v>0</v>
      </c>
      <c r="AV171" s="169">
        <f t="shared" si="94"/>
        <v>0</v>
      </c>
      <c r="AW171" s="170">
        <f t="shared" si="95"/>
        <v>0</v>
      </c>
      <c r="AX171" s="167">
        <f t="shared" si="96"/>
        <v>0</v>
      </c>
      <c r="AY171" s="166">
        <f t="shared" si="97"/>
        <v>0</v>
      </c>
    </row>
    <row r="172" ht="15.75" customHeight="1">
      <c r="Z172" s="5"/>
      <c r="AA172" s="96"/>
      <c r="AB172" s="76" t="s">
        <v>28</v>
      </c>
      <c r="AC172" s="56">
        <f>IF('Ship Data Imperial'!E37&gt;0,'Ship Data Imperial'!E37,AS172)</f>
        <v>0</v>
      </c>
      <c r="AD172" s="168">
        <f t="shared" si="98"/>
        <v>0</v>
      </c>
      <c r="AE172" s="169">
        <f t="shared" si="99"/>
        <v>0</v>
      </c>
      <c r="AF172" s="170">
        <f t="shared" si="81"/>
        <v>0</v>
      </c>
      <c r="AG172" s="166">
        <f t="shared" si="82"/>
        <v>0</v>
      </c>
      <c r="AH172" s="167">
        <f t="shared" si="83"/>
        <v>0</v>
      </c>
      <c r="AI172" s="168">
        <f t="shared" si="84"/>
        <v>0</v>
      </c>
      <c r="AJ172" s="169">
        <f t="shared" si="85"/>
        <v>0</v>
      </c>
      <c r="AK172" s="170">
        <f t="shared" si="86"/>
        <v>0</v>
      </c>
      <c r="AL172" s="167">
        <f t="shared" si="87"/>
        <v>0</v>
      </c>
      <c r="AM172" s="166">
        <f t="shared" si="88"/>
        <v>0</v>
      </c>
      <c r="AN172" s="168">
        <f t="shared" si="89"/>
        <v>0</v>
      </c>
      <c r="AO172" s="169">
        <f t="shared" si="90"/>
        <v>0</v>
      </c>
      <c r="AP172" s="170">
        <f t="shared" si="91"/>
        <v>0</v>
      </c>
      <c r="AQ172" s="166">
        <f t="shared" si="92"/>
        <v>0</v>
      </c>
      <c r="AS172" s="56">
        <f>'Ship Data Metric'!E37*0.03280839895</f>
        <v>0</v>
      </c>
      <c r="AT172" s="96"/>
      <c r="AU172" s="168">
        <f t="shared" si="93"/>
        <v>0</v>
      </c>
      <c r="AV172" s="169">
        <f t="shared" si="94"/>
        <v>0</v>
      </c>
      <c r="AW172" s="170">
        <f t="shared" si="95"/>
        <v>0</v>
      </c>
      <c r="AX172" s="167">
        <f t="shared" si="96"/>
        <v>0</v>
      </c>
      <c r="AY172" s="166">
        <f t="shared" si="97"/>
        <v>0</v>
      </c>
    </row>
    <row r="173" ht="15.75" customHeight="1">
      <c r="Z173" s="5"/>
      <c r="AA173" s="96"/>
      <c r="AB173" s="76" t="s">
        <v>29</v>
      </c>
      <c r="AC173" s="56">
        <f>IF('Ship Data Imperial'!E38&gt;0,'Ship Data Imperial'!E38,AS173)</f>
        <v>0</v>
      </c>
      <c r="AD173" s="168">
        <f t="shared" si="98"/>
        <v>0</v>
      </c>
      <c r="AE173" s="169">
        <f t="shared" si="99"/>
        <v>0</v>
      </c>
      <c r="AF173" s="170">
        <f t="shared" si="81"/>
        <v>0</v>
      </c>
      <c r="AG173" s="166">
        <f t="shared" si="82"/>
        <v>0</v>
      </c>
      <c r="AH173" s="167">
        <f t="shared" si="83"/>
        <v>0</v>
      </c>
      <c r="AI173" s="168">
        <f t="shared" si="84"/>
        <v>0</v>
      </c>
      <c r="AJ173" s="169">
        <f t="shared" si="85"/>
        <v>0</v>
      </c>
      <c r="AK173" s="170">
        <f t="shared" si="86"/>
        <v>0</v>
      </c>
      <c r="AL173" s="167">
        <f t="shared" si="87"/>
        <v>0</v>
      </c>
      <c r="AM173" s="166">
        <f t="shared" si="88"/>
        <v>0</v>
      </c>
      <c r="AN173" s="168">
        <f t="shared" si="89"/>
        <v>0</v>
      </c>
      <c r="AO173" s="169">
        <f t="shared" si="90"/>
        <v>0</v>
      </c>
      <c r="AP173" s="170">
        <f t="shared" si="91"/>
        <v>0</v>
      </c>
      <c r="AQ173" s="166">
        <f t="shared" si="92"/>
        <v>0</v>
      </c>
      <c r="AS173" s="56">
        <f>'Ship Data Metric'!E38*0.03280839895</f>
        <v>0</v>
      </c>
      <c r="AT173" s="96"/>
      <c r="AU173" s="168">
        <f t="shared" si="93"/>
        <v>0</v>
      </c>
      <c r="AV173" s="169">
        <f t="shared" si="94"/>
        <v>0</v>
      </c>
      <c r="AW173" s="170">
        <f t="shared" si="95"/>
        <v>0</v>
      </c>
      <c r="AX173" s="167">
        <f t="shared" si="96"/>
        <v>0</v>
      </c>
      <c r="AY173" s="166">
        <f t="shared" si="97"/>
        <v>0</v>
      </c>
    </row>
    <row r="174" ht="15.75" customHeight="1">
      <c r="Z174" s="5"/>
      <c r="AA174" s="75" t="s">
        <v>35</v>
      </c>
      <c r="AB174" s="76" t="s">
        <v>24</v>
      </c>
      <c r="AC174" s="56">
        <f>IF('Ship Data Imperial'!E39&gt;0,'Ship Data Imperial'!E39,AS174)</f>
        <v>0</v>
      </c>
      <c r="AD174" s="168">
        <f t="shared" si="98"/>
        <v>0</v>
      </c>
      <c r="AE174" s="169">
        <f t="shared" si="99"/>
        <v>0</v>
      </c>
      <c r="AF174" s="170">
        <f t="shared" si="81"/>
        <v>0</v>
      </c>
      <c r="AG174" s="166">
        <f t="shared" si="82"/>
        <v>0</v>
      </c>
      <c r="AH174" s="167">
        <f t="shared" si="83"/>
        <v>0</v>
      </c>
      <c r="AI174" s="168">
        <f t="shared" si="84"/>
        <v>0</v>
      </c>
      <c r="AJ174" s="169">
        <f t="shared" si="85"/>
        <v>0</v>
      </c>
      <c r="AK174" s="170">
        <f t="shared" si="86"/>
        <v>0</v>
      </c>
      <c r="AL174" s="167">
        <f t="shared" si="87"/>
        <v>0</v>
      </c>
      <c r="AM174" s="166">
        <f t="shared" si="88"/>
        <v>0</v>
      </c>
      <c r="AN174" s="168">
        <f t="shared" si="89"/>
        <v>0</v>
      </c>
      <c r="AO174" s="169">
        <f t="shared" si="90"/>
        <v>0</v>
      </c>
      <c r="AP174" s="170">
        <f t="shared" si="91"/>
        <v>0</v>
      </c>
      <c r="AQ174" s="166">
        <f t="shared" si="92"/>
        <v>0</v>
      </c>
      <c r="AS174" s="56">
        <f>'Ship Data Metric'!E39*0.03280839895</f>
        <v>0</v>
      </c>
      <c r="AT174" s="75" t="s">
        <v>35</v>
      </c>
      <c r="AU174" s="168">
        <f t="shared" si="93"/>
        <v>0</v>
      </c>
      <c r="AV174" s="169">
        <f t="shared" si="94"/>
        <v>0</v>
      </c>
      <c r="AW174" s="170">
        <f t="shared" si="95"/>
        <v>0</v>
      </c>
      <c r="AX174" s="167">
        <f t="shared" si="96"/>
        <v>0</v>
      </c>
      <c r="AY174" s="166">
        <f t="shared" si="97"/>
        <v>0</v>
      </c>
    </row>
    <row r="175" ht="15.75" customHeight="1">
      <c r="Z175" s="5"/>
      <c r="AA175" s="96"/>
      <c r="AB175" s="76" t="s">
        <v>25</v>
      </c>
      <c r="AC175" s="56">
        <f>IF('Ship Data Imperial'!E40&gt;0,'Ship Data Imperial'!E40,AS175)</f>
        <v>0</v>
      </c>
      <c r="AD175" s="168">
        <f t="shared" si="98"/>
        <v>0</v>
      </c>
      <c r="AE175" s="169">
        <f t="shared" si="99"/>
        <v>0</v>
      </c>
      <c r="AF175" s="170">
        <f t="shared" si="81"/>
        <v>0</v>
      </c>
      <c r="AG175" s="166">
        <f t="shared" si="82"/>
        <v>0</v>
      </c>
      <c r="AH175" s="167">
        <f t="shared" si="83"/>
        <v>0</v>
      </c>
      <c r="AI175" s="168">
        <f t="shared" si="84"/>
        <v>0</v>
      </c>
      <c r="AJ175" s="169">
        <f t="shared" si="85"/>
        <v>0</v>
      </c>
      <c r="AK175" s="170">
        <f t="shared" si="86"/>
        <v>0</v>
      </c>
      <c r="AL175" s="167">
        <f t="shared" si="87"/>
        <v>0</v>
      </c>
      <c r="AM175" s="166">
        <f t="shared" si="88"/>
        <v>0</v>
      </c>
      <c r="AN175" s="168">
        <f t="shared" si="89"/>
        <v>0</v>
      </c>
      <c r="AO175" s="169">
        <f t="shared" si="90"/>
        <v>0</v>
      </c>
      <c r="AP175" s="170">
        <f t="shared" si="91"/>
        <v>0</v>
      </c>
      <c r="AQ175" s="166">
        <f t="shared" si="92"/>
        <v>0</v>
      </c>
      <c r="AS175" s="56">
        <f>'Ship Data Metric'!E40*0.03280839895</f>
        <v>0</v>
      </c>
      <c r="AT175" s="96"/>
      <c r="AU175" s="168">
        <f t="shared" si="93"/>
        <v>0</v>
      </c>
      <c r="AV175" s="169">
        <f t="shared" si="94"/>
        <v>0</v>
      </c>
      <c r="AW175" s="170">
        <f t="shared" si="95"/>
        <v>0</v>
      </c>
      <c r="AX175" s="167">
        <f t="shared" si="96"/>
        <v>0</v>
      </c>
      <c r="AY175" s="166">
        <f t="shared" si="97"/>
        <v>0</v>
      </c>
    </row>
    <row r="176" ht="15.75" customHeight="1">
      <c r="AA176" s="96"/>
      <c r="AB176" s="76" t="s">
        <v>26</v>
      </c>
      <c r="AC176" s="56">
        <f>IF('Ship Data Imperial'!E41&gt;0,'Ship Data Imperial'!E41,AS176)</f>
        <v>0</v>
      </c>
      <c r="AD176" s="168">
        <f t="shared" si="98"/>
        <v>0</v>
      </c>
      <c r="AE176" s="169">
        <f t="shared" si="99"/>
        <v>0</v>
      </c>
      <c r="AF176" s="170">
        <f t="shared" si="81"/>
        <v>0</v>
      </c>
      <c r="AG176" s="166">
        <f t="shared" si="82"/>
        <v>0</v>
      </c>
      <c r="AH176" s="167">
        <f t="shared" si="83"/>
        <v>0</v>
      </c>
      <c r="AI176" s="168">
        <f t="shared" si="84"/>
        <v>0</v>
      </c>
      <c r="AJ176" s="169">
        <f t="shared" si="85"/>
        <v>0</v>
      </c>
      <c r="AK176" s="170">
        <f t="shared" si="86"/>
        <v>0</v>
      </c>
      <c r="AL176" s="167">
        <f t="shared" si="87"/>
        <v>0</v>
      </c>
      <c r="AM176" s="166">
        <f t="shared" si="88"/>
        <v>0</v>
      </c>
      <c r="AN176" s="168">
        <f t="shared" si="89"/>
        <v>0</v>
      </c>
      <c r="AO176" s="169">
        <f t="shared" si="90"/>
        <v>0</v>
      </c>
      <c r="AP176" s="170">
        <f t="shared" si="91"/>
        <v>0</v>
      </c>
      <c r="AQ176" s="166">
        <f t="shared" si="92"/>
        <v>0</v>
      </c>
      <c r="AS176" s="56">
        <f>'Ship Data Metric'!E41*0.03280839895</f>
        <v>0</v>
      </c>
      <c r="AT176" s="96"/>
      <c r="AU176" s="168">
        <f t="shared" si="93"/>
        <v>0</v>
      </c>
      <c r="AV176" s="169">
        <f t="shared" si="94"/>
        <v>0</v>
      </c>
      <c r="AW176" s="170">
        <f t="shared" si="95"/>
        <v>0</v>
      </c>
      <c r="AX176" s="167">
        <f t="shared" si="96"/>
        <v>0</v>
      </c>
      <c r="AY176" s="166">
        <f t="shared" si="97"/>
        <v>0</v>
      </c>
    </row>
    <row r="177" ht="15.75" customHeight="1">
      <c r="AA177" s="96"/>
      <c r="AB177" s="76" t="s">
        <v>27</v>
      </c>
      <c r="AC177" s="56">
        <f>IF('Ship Data Imperial'!E42&gt;0,'Ship Data Imperial'!E42,AS177)</f>
        <v>0</v>
      </c>
      <c r="AD177" s="168">
        <f t="shared" si="98"/>
        <v>0</v>
      </c>
      <c r="AE177" s="169">
        <f t="shared" si="99"/>
        <v>0</v>
      </c>
      <c r="AF177" s="170">
        <f t="shared" si="81"/>
        <v>0</v>
      </c>
      <c r="AG177" s="166">
        <f t="shared" si="82"/>
        <v>0</v>
      </c>
      <c r="AH177" s="167">
        <f t="shared" si="83"/>
        <v>0</v>
      </c>
      <c r="AI177" s="168">
        <f t="shared" si="84"/>
        <v>0</v>
      </c>
      <c r="AJ177" s="169">
        <f t="shared" si="85"/>
        <v>0</v>
      </c>
      <c r="AK177" s="170">
        <f t="shared" si="86"/>
        <v>0</v>
      </c>
      <c r="AL177" s="167">
        <f t="shared" si="87"/>
        <v>0</v>
      </c>
      <c r="AM177" s="166">
        <f t="shared" si="88"/>
        <v>0</v>
      </c>
      <c r="AN177" s="168">
        <f t="shared" si="89"/>
        <v>0</v>
      </c>
      <c r="AO177" s="169">
        <f t="shared" si="90"/>
        <v>0</v>
      </c>
      <c r="AP177" s="170">
        <f t="shared" si="91"/>
        <v>0</v>
      </c>
      <c r="AQ177" s="166">
        <f t="shared" si="92"/>
        <v>0</v>
      </c>
      <c r="AS177" s="56">
        <f>'Ship Data Metric'!E42*0.03280839895</f>
        <v>0</v>
      </c>
      <c r="AT177" s="96"/>
      <c r="AU177" s="168">
        <f t="shared" si="93"/>
        <v>0</v>
      </c>
      <c r="AV177" s="169">
        <f t="shared" si="94"/>
        <v>0</v>
      </c>
      <c r="AW177" s="170">
        <f t="shared" si="95"/>
        <v>0</v>
      </c>
      <c r="AX177" s="167">
        <f t="shared" si="96"/>
        <v>0</v>
      </c>
      <c r="AY177" s="166">
        <f t="shared" si="97"/>
        <v>0</v>
      </c>
    </row>
    <row r="178" ht="15.75" customHeight="1">
      <c r="AA178" s="96"/>
      <c r="AB178" s="76" t="s">
        <v>28</v>
      </c>
      <c r="AC178" s="56">
        <f>IF('Ship Data Imperial'!E43&gt;0,'Ship Data Imperial'!E43,AS178)</f>
        <v>0</v>
      </c>
      <c r="AD178" s="168">
        <f t="shared" si="98"/>
        <v>0</v>
      </c>
      <c r="AE178" s="169">
        <f t="shared" si="99"/>
        <v>0</v>
      </c>
      <c r="AF178" s="170">
        <f t="shared" si="81"/>
        <v>0</v>
      </c>
      <c r="AG178" s="166">
        <f t="shared" si="82"/>
        <v>0</v>
      </c>
      <c r="AH178" s="167">
        <f t="shared" si="83"/>
        <v>0</v>
      </c>
      <c r="AI178" s="168">
        <f t="shared" si="84"/>
        <v>0</v>
      </c>
      <c r="AJ178" s="169">
        <f t="shared" si="85"/>
        <v>0</v>
      </c>
      <c r="AK178" s="170">
        <f t="shared" si="86"/>
        <v>0</v>
      </c>
      <c r="AL178" s="167">
        <f t="shared" si="87"/>
        <v>0</v>
      </c>
      <c r="AM178" s="166">
        <f t="shared" si="88"/>
        <v>0</v>
      </c>
      <c r="AN178" s="168">
        <f t="shared" si="89"/>
        <v>0</v>
      </c>
      <c r="AO178" s="169">
        <f t="shared" si="90"/>
        <v>0</v>
      </c>
      <c r="AP178" s="170">
        <f t="shared" si="91"/>
        <v>0</v>
      </c>
      <c r="AQ178" s="166">
        <f t="shared" si="92"/>
        <v>0</v>
      </c>
      <c r="AS178" s="56">
        <f>'Ship Data Metric'!E43*0.03280839895</f>
        <v>0</v>
      </c>
      <c r="AT178" s="96"/>
      <c r="AU178" s="168">
        <f t="shared" si="93"/>
        <v>0</v>
      </c>
      <c r="AV178" s="169">
        <f t="shared" si="94"/>
        <v>0</v>
      </c>
      <c r="AW178" s="170">
        <f t="shared" si="95"/>
        <v>0</v>
      </c>
      <c r="AX178" s="167">
        <f t="shared" si="96"/>
        <v>0</v>
      </c>
      <c r="AY178" s="166">
        <f t="shared" si="97"/>
        <v>0</v>
      </c>
    </row>
    <row r="179" ht="15.75" customHeight="1">
      <c r="AA179" s="96"/>
      <c r="AB179" s="76" t="s">
        <v>29</v>
      </c>
      <c r="AC179" s="56">
        <f>IF('Ship Data Imperial'!E44&gt;0,'Ship Data Imperial'!E44,AS179)</f>
        <v>0</v>
      </c>
      <c r="AD179" s="168">
        <f t="shared" si="98"/>
        <v>0</v>
      </c>
      <c r="AE179" s="169">
        <f t="shared" si="99"/>
        <v>0</v>
      </c>
      <c r="AF179" s="170">
        <f t="shared" si="81"/>
        <v>0</v>
      </c>
      <c r="AG179" s="166">
        <f t="shared" si="82"/>
        <v>0</v>
      </c>
      <c r="AH179" s="167">
        <f t="shared" si="83"/>
        <v>0</v>
      </c>
      <c r="AI179" s="168">
        <f t="shared" si="84"/>
        <v>0</v>
      </c>
      <c r="AJ179" s="169">
        <f t="shared" si="85"/>
        <v>0</v>
      </c>
      <c r="AK179" s="170">
        <f t="shared" si="86"/>
        <v>0</v>
      </c>
      <c r="AL179" s="167">
        <f t="shared" si="87"/>
        <v>0</v>
      </c>
      <c r="AM179" s="166">
        <f t="shared" si="88"/>
        <v>0</v>
      </c>
      <c r="AN179" s="168">
        <f t="shared" si="89"/>
        <v>0</v>
      </c>
      <c r="AO179" s="169">
        <f t="shared" si="90"/>
        <v>0</v>
      </c>
      <c r="AP179" s="170">
        <f t="shared" si="91"/>
        <v>0</v>
      </c>
      <c r="AQ179" s="166">
        <f t="shared" si="92"/>
        <v>0</v>
      </c>
      <c r="AS179" s="56">
        <f>'Ship Data Metric'!E44*0.03280839895</f>
        <v>0</v>
      </c>
      <c r="AT179" s="96"/>
      <c r="AU179" s="168">
        <f t="shared" si="93"/>
        <v>0</v>
      </c>
      <c r="AV179" s="169">
        <f t="shared" si="94"/>
        <v>0</v>
      </c>
      <c r="AW179" s="170">
        <f t="shared" si="95"/>
        <v>0</v>
      </c>
      <c r="AX179" s="167">
        <f t="shared" si="96"/>
        <v>0</v>
      </c>
      <c r="AY179" s="166">
        <f t="shared" si="97"/>
        <v>0</v>
      </c>
    </row>
    <row r="180" ht="15.75" customHeight="1">
      <c r="AA180" s="75" t="s">
        <v>36</v>
      </c>
      <c r="AB180" s="76" t="s">
        <v>24</v>
      </c>
      <c r="AC180" s="56">
        <f>IF('Ship Data Imperial'!E45&gt;0,'Ship Data Imperial'!E45,AS180)</f>
        <v>0</v>
      </c>
      <c r="AD180" s="168">
        <f t="shared" si="98"/>
        <v>0</v>
      </c>
      <c r="AE180" s="169">
        <f t="shared" si="99"/>
        <v>0</v>
      </c>
      <c r="AF180" s="170">
        <f t="shared" si="81"/>
        <v>0</v>
      </c>
      <c r="AG180" s="166">
        <f t="shared" si="82"/>
        <v>0</v>
      </c>
      <c r="AH180" s="167">
        <f t="shared" si="83"/>
        <v>0</v>
      </c>
      <c r="AI180" s="168">
        <f t="shared" si="84"/>
        <v>0</v>
      </c>
      <c r="AJ180" s="169">
        <f t="shared" si="85"/>
        <v>0</v>
      </c>
      <c r="AK180" s="170">
        <f t="shared" si="86"/>
        <v>0</v>
      </c>
      <c r="AL180" s="167">
        <f t="shared" si="87"/>
        <v>0</v>
      </c>
      <c r="AM180" s="166">
        <f t="shared" si="88"/>
        <v>0</v>
      </c>
      <c r="AN180" s="168">
        <f t="shared" si="89"/>
        <v>0</v>
      </c>
      <c r="AO180" s="169">
        <f t="shared" si="90"/>
        <v>0</v>
      </c>
      <c r="AP180" s="170">
        <f t="shared" si="91"/>
        <v>0</v>
      </c>
      <c r="AQ180" s="166">
        <f t="shared" si="92"/>
        <v>0</v>
      </c>
      <c r="AS180" s="56">
        <f>'Ship Data Metric'!E45*0.03280839895</f>
        <v>0</v>
      </c>
      <c r="AT180" s="75" t="s">
        <v>195</v>
      </c>
      <c r="AU180" s="168">
        <f t="shared" si="93"/>
        <v>0</v>
      </c>
      <c r="AV180" s="169">
        <f t="shared" si="94"/>
        <v>0</v>
      </c>
      <c r="AW180" s="170">
        <f t="shared" si="95"/>
        <v>0</v>
      </c>
      <c r="AX180" s="167">
        <f t="shared" si="96"/>
        <v>0</v>
      </c>
      <c r="AY180" s="166">
        <f t="shared" si="97"/>
        <v>0</v>
      </c>
    </row>
    <row r="181" ht="15.75" customHeight="1">
      <c r="AA181" s="96"/>
      <c r="AB181" s="76" t="s">
        <v>25</v>
      </c>
      <c r="AC181" s="56">
        <f>IF('Ship Data Imperial'!E46&gt;0,'Ship Data Imperial'!E46,AS181)</f>
        <v>0</v>
      </c>
      <c r="AD181" s="168">
        <f t="shared" si="98"/>
        <v>0</v>
      </c>
      <c r="AE181" s="169">
        <f t="shared" si="99"/>
        <v>0</v>
      </c>
      <c r="AF181" s="170">
        <f t="shared" si="81"/>
        <v>0</v>
      </c>
      <c r="AG181" s="166">
        <f t="shared" si="82"/>
        <v>0</v>
      </c>
      <c r="AH181" s="167">
        <f t="shared" si="83"/>
        <v>0</v>
      </c>
      <c r="AI181" s="168">
        <f t="shared" si="84"/>
        <v>0</v>
      </c>
      <c r="AJ181" s="169">
        <f t="shared" si="85"/>
        <v>0</v>
      </c>
      <c r="AK181" s="170">
        <f t="shared" si="86"/>
        <v>0</v>
      </c>
      <c r="AL181" s="167">
        <f t="shared" si="87"/>
        <v>0</v>
      </c>
      <c r="AM181" s="166">
        <f t="shared" si="88"/>
        <v>0</v>
      </c>
      <c r="AN181" s="168">
        <f t="shared" si="89"/>
        <v>0</v>
      </c>
      <c r="AO181" s="169">
        <f t="shared" si="90"/>
        <v>0</v>
      </c>
      <c r="AP181" s="170">
        <f t="shared" si="91"/>
        <v>0</v>
      </c>
      <c r="AQ181" s="166">
        <f t="shared" si="92"/>
        <v>0</v>
      </c>
      <c r="AS181" s="56">
        <f>'Ship Data Metric'!E46*0.03280839895</f>
        <v>0</v>
      </c>
      <c r="AT181" s="96"/>
      <c r="AU181" s="168">
        <f t="shared" si="93"/>
        <v>0</v>
      </c>
      <c r="AV181" s="169">
        <f t="shared" si="94"/>
        <v>0</v>
      </c>
      <c r="AW181" s="170">
        <f t="shared" si="95"/>
        <v>0</v>
      </c>
      <c r="AX181" s="167">
        <f t="shared" si="96"/>
        <v>0</v>
      </c>
      <c r="AY181" s="166">
        <f t="shared" si="97"/>
        <v>0</v>
      </c>
    </row>
    <row r="182" ht="15.75" customHeight="1">
      <c r="AA182" s="96"/>
      <c r="AB182" s="76" t="s">
        <v>26</v>
      </c>
      <c r="AC182" s="56">
        <f>IF('Ship Data Imperial'!E47&gt;0,'Ship Data Imperial'!E47,AS182)</f>
        <v>0</v>
      </c>
      <c r="AD182" s="168">
        <f t="shared" si="98"/>
        <v>0</v>
      </c>
      <c r="AE182" s="169">
        <f t="shared" si="99"/>
        <v>0</v>
      </c>
      <c r="AF182" s="170">
        <f t="shared" si="81"/>
        <v>0</v>
      </c>
      <c r="AG182" s="166">
        <f t="shared" si="82"/>
        <v>0</v>
      </c>
      <c r="AH182" s="167">
        <f t="shared" si="83"/>
        <v>0</v>
      </c>
      <c r="AI182" s="168">
        <f t="shared" si="84"/>
        <v>0</v>
      </c>
      <c r="AJ182" s="169">
        <f t="shared" si="85"/>
        <v>0</v>
      </c>
      <c r="AK182" s="170">
        <f t="shared" si="86"/>
        <v>0</v>
      </c>
      <c r="AL182" s="167">
        <f t="shared" si="87"/>
        <v>0</v>
      </c>
      <c r="AM182" s="166">
        <f t="shared" si="88"/>
        <v>0</v>
      </c>
      <c r="AN182" s="168">
        <f t="shared" si="89"/>
        <v>0</v>
      </c>
      <c r="AO182" s="169">
        <f t="shared" si="90"/>
        <v>0</v>
      </c>
      <c r="AP182" s="170">
        <f t="shared" si="91"/>
        <v>0</v>
      </c>
      <c r="AQ182" s="166">
        <f t="shared" si="92"/>
        <v>0</v>
      </c>
      <c r="AS182" s="56">
        <f>'Ship Data Metric'!E47*0.03280839895</f>
        <v>0</v>
      </c>
      <c r="AT182" s="96"/>
      <c r="AU182" s="168">
        <f t="shared" si="93"/>
        <v>0</v>
      </c>
      <c r="AV182" s="169">
        <f t="shared" si="94"/>
        <v>0</v>
      </c>
      <c r="AW182" s="170">
        <f t="shared" si="95"/>
        <v>0</v>
      </c>
      <c r="AX182" s="167">
        <f t="shared" si="96"/>
        <v>0</v>
      </c>
      <c r="AY182" s="166">
        <f t="shared" si="97"/>
        <v>0</v>
      </c>
    </row>
    <row r="183" ht="15.75" customHeight="1">
      <c r="AA183" s="96"/>
      <c r="AB183" s="76" t="s">
        <v>27</v>
      </c>
      <c r="AC183" s="56">
        <f>IF('Ship Data Imperial'!E48&gt;0,'Ship Data Imperial'!E48,AS183)</f>
        <v>0</v>
      </c>
      <c r="AD183" s="168">
        <f t="shared" si="98"/>
        <v>0</v>
      </c>
      <c r="AE183" s="169">
        <f t="shared" si="99"/>
        <v>0</v>
      </c>
      <c r="AF183" s="170">
        <f t="shared" si="81"/>
        <v>0</v>
      </c>
      <c r="AG183" s="166">
        <f t="shared" si="82"/>
        <v>0</v>
      </c>
      <c r="AH183" s="167">
        <f t="shared" si="83"/>
        <v>0</v>
      </c>
      <c r="AI183" s="168">
        <f t="shared" si="84"/>
        <v>0</v>
      </c>
      <c r="AJ183" s="169">
        <f t="shared" si="85"/>
        <v>0</v>
      </c>
      <c r="AK183" s="170">
        <f t="shared" si="86"/>
        <v>0</v>
      </c>
      <c r="AL183" s="167">
        <f t="shared" si="87"/>
        <v>0</v>
      </c>
      <c r="AM183" s="166">
        <f t="shared" si="88"/>
        <v>0</v>
      </c>
      <c r="AN183" s="168">
        <f t="shared" si="89"/>
        <v>0</v>
      </c>
      <c r="AO183" s="169">
        <f t="shared" si="90"/>
        <v>0</v>
      </c>
      <c r="AP183" s="170">
        <f t="shared" si="91"/>
        <v>0</v>
      </c>
      <c r="AQ183" s="166">
        <f t="shared" si="92"/>
        <v>0</v>
      </c>
      <c r="AS183" s="56">
        <f>'Ship Data Metric'!E48*0.03280839895</f>
        <v>0</v>
      </c>
      <c r="AT183" s="96"/>
      <c r="AU183" s="168">
        <f t="shared" si="93"/>
        <v>0</v>
      </c>
      <c r="AV183" s="169">
        <f t="shared" si="94"/>
        <v>0</v>
      </c>
      <c r="AW183" s="170">
        <f t="shared" si="95"/>
        <v>0</v>
      </c>
      <c r="AX183" s="167">
        <f t="shared" si="96"/>
        <v>0</v>
      </c>
      <c r="AY183" s="166">
        <f t="shared" si="97"/>
        <v>0</v>
      </c>
    </row>
    <row r="184" ht="15.75" customHeight="1">
      <c r="AA184" s="96"/>
      <c r="AB184" s="76" t="s">
        <v>28</v>
      </c>
      <c r="AC184" s="56">
        <f>IF('Ship Data Imperial'!E49&gt;0,'Ship Data Imperial'!E49,AS184)</f>
        <v>0</v>
      </c>
      <c r="AD184" s="168">
        <f t="shared" si="98"/>
        <v>0</v>
      </c>
      <c r="AE184" s="169">
        <f t="shared" si="99"/>
        <v>0</v>
      </c>
      <c r="AF184" s="170">
        <f t="shared" si="81"/>
        <v>0</v>
      </c>
      <c r="AG184" s="166">
        <f t="shared" si="82"/>
        <v>0</v>
      </c>
      <c r="AH184" s="167">
        <f t="shared" si="83"/>
        <v>0</v>
      </c>
      <c r="AI184" s="168">
        <f t="shared" si="84"/>
        <v>0</v>
      </c>
      <c r="AJ184" s="169">
        <f t="shared" si="85"/>
        <v>0</v>
      </c>
      <c r="AK184" s="170">
        <f t="shared" si="86"/>
        <v>0</v>
      </c>
      <c r="AL184" s="167">
        <f t="shared" si="87"/>
        <v>0</v>
      </c>
      <c r="AM184" s="166">
        <f t="shared" si="88"/>
        <v>0</v>
      </c>
      <c r="AN184" s="168">
        <f t="shared" si="89"/>
        <v>0</v>
      </c>
      <c r="AO184" s="169">
        <f t="shared" si="90"/>
        <v>0</v>
      </c>
      <c r="AP184" s="170">
        <f t="shared" si="91"/>
        <v>0</v>
      </c>
      <c r="AQ184" s="166">
        <f t="shared" si="92"/>
        <v>0</v>
      </c>
      <c r="AS184" s="56">
        <f>'Ship Data Metric'!E49*0.03280839895</f>
        <v>0</v>
      </c>
      <c r="AT184" s="96"/>
      <c r="AU184" s="168">
        <f t="shared" si="93"/>
        <v>0</v>
      </c>
      <c r="AV184" s="169">
        <f t="shared" si="94"/>
        <v>0</v>
      </c>
      <c r="AW184" s="170">
        <f t="shared" si="95"/>
        <v>0</v>
      </c>
      <c r="AX184" s="167">
        <f t="shared" si="96"/>
        <v>0</v>
      </c>
      <c r="AY184" s="166">
        <f t="shared" si="97"/>
        <v>0</v>
      </c>
    </row>
    <row r="185" ht="15.75" customHeight="1">
      <c r="AA185" s="96"/>
      <c r="AB185" s="76" t="s">
        <v>29</v>
      </c>
      <c r="AC185" s="56">
        <f>IF('Ship Data Imperial'!E50&gt;0,'Ship Data Imperial'!E50,AS185)</f>
        <v>0</v>
      </c>
      <c r="AD185" s="168">
        <f t="shared" si="98"/>
        <v>0</v>
      </c>
      <c r="AE185" s="169">
        <f t="shared" si="99"/>
        <v>0</v>
      </c>
      <c r="AF185" s="170">
        <f t="shared" si="81"/>
        <v>0</v>
      </c>
      <c r="AG185" s="166">
        <f t="shared" si="82"/>
        <v>0</v>
      </c>
      <c r="AH185" s="167">
        <f t="shared" si="83"/>
        <v>0</v>
      </c>
      <c r="AI185" s="168">
        <f t="shared" si="84"/>
        <v>0</v>
      </c>
      <c r="AJ185" s="169">
        <f t="shared" si="85"/>
        <v>0</v>
      </c>
      <c r="AK185" s="170">
        <f t="shared" si="86"/>
        <v>0</v>
      </c>
      <c r="AL185" s="167">
        <f t="shared" si="87"/>
        <v>0</v>
      </c>
      <c r="AM185" s="166">
        <f t="shared" si="88"/>
        <v>0</v>
      </c>
      <c r="AN185" s="168">
        <f t="shared" si="89"/>
        <v>0</v>
      </c>
      <c r="AO185" s="169">
        <f t="shared" si="90"/>
        <v>0</v>
      </c>
      <c r="AP185" s="170">
        <f t="shared" si="91"/>
        <v>0</v>
      </c>
      <c r="AQ185" s="166">
        <f t="shared" si="92"/>
        <v>0</v>
      </c>
      <c r="AS185" s="56">
        <f>'Ship Data Metric'!E50*0.03280839895</f>
        <v>0</v>
      </c>
      <c r="AT185" s="96"/>
      <c r="AU185" s="168">
        <f t="shared" si="93"/>
        <v>0</v>
      </c>
      <c r="AV185" s="169">
        <f t="shared" si="94"/>
        <v>0</v>
      </c>
      <c r="AW185" s="170">
        <f t="shared" si="95"/>
        <v>0</v>
      </c>
      <c r="AX185" s="167">
        <f t="shared" si="96"/>
        <v>0</v>
      </c>
      <c r="AY185" s="166">
        <f t="shared" si="97"/>
        <v>0</v>
      </c>
    </row>
    <row r="186" ht="15.75" customHeight="1">
      <c r="AA186" s="75" t="s">
        <v>37</v>
      </c>
      <c r="AB186" s="76" t="s">
        <v>24</v>
      </c>
      <c r="AC186" s="56">
        <f>IF('Ship Data Imperial'!E51&gt;0,'Ship Data Imperial'!E51,AS186)</f>
        <v>0</v>
      </c>
      <c r="AD186" s="168">
        <f t="shared" si="98"/>
        <v>0</v>
      </c>
      <c r="AE186" s="169">
        <f t="shared" si="99"/>
        <v>0</v>
      </c>
      <c r="AF186" s="170">
        <f t="shared" si="81"/>
        <v>0</v>
      </c>
      <c r="AG186" s="166">
        <f t="shared" si="82"/>
        <v>0</v>
      </c>
      <c r="AH186" s="167">
        <f t="shared" si="83"/>
        <v>0</v>
      </c>
      <c r="AI186" s="168">
        <f t="shared" si="84"/>
        <v>0</v>
      </c>
      <c r="AJ186" s="169">
        <f t="shared" si="85"/>
        <v>0</v>
      </c>
      <c r="AK186" s="170">
        <f t="shared" si="86"/>
        <v>0</v>
      </c>
      <c r="AL186" s="167">
        <f t="shared" si="87"/>
        <v>0</v>
      </c>
      <c r="AM186" s="166">
        <f t="shared" si="88"/>
        <v>0</v>
      </c>
      <c r="AN186" s="168">
        <f t="shared" si="89"/>
        <v>0</v>
      </c>
      <c r="AO186" s="169">
        <f t="shared" si="90"/>
        <v>0</v>
      </c>
      <c r="AP186" s="170">
        <f t="shared" si="91"/>
        <v>0</v>
      </c>
      <c r="AQ186" s="166">
        <f t="shared" si="92"/>
        <v>0</v>
      </c>
      <c r="AS186" s="56">
        <f>'Ship Data Metric'!E51*0.03280839895</f>
        <v>0</v>
      </c>
      <c r="AT186" s="75" t="s">
        <v>37</v>
      </c>
      <c r="AU186" s="168">
        <f t="shared" si="93"/>
        <v>0</v>
      </c>
      <c r="AV186" s="169">
        <f t="shared" si="94"/>
        <v>0</v>
      </c>
      <c r="AW186" s="170">
        <f t="shared" si="95"/>
        <v>0</v>
      </c>
      <c r="AX186" s="167">
        <f t="shared" si="96"/>
        <v>0</v>
      </c>
      <c r="AY186" s="166">
        <f t="shared" si="97"/>
        <v>0</v>
      </c>
    </row>
    <row r="187" ht="15.75" customHeight="1">
      <c r="AA187" s="96"/>
      <c r="AB187" s="76" t="s">
        <v>25</v>
      </c>
      <c r="AC187" s="56">
        <f>IF('Ship Data Imperial'!E52&gt;0,'Ship Data Imperial'!E52,AS187)</f>
        <v>0</v>
      </c>
      <c r="AD187" s="168">
        <f t="shared" si="98"/>
        <v>0</v>
      </c>
      <c r="AE187" s="169">
        <f t="shared" si="99"/>
        <v>0</v>
      </c>
      <c r="AF187" s="170">
        <f t="shared" si="81"/>
        <v>0</v>
      </c>
      <c r="AG187" s="166">
        <f t="shared" si="82"/>
        <v>0</v>
      </c>
      <c r="AH187" s="167">
        <f t="shared" si="83"/>
        <v>0</v>
      </c>
      <c r="AI187" s="168">
        <f t="shared" si="84"/>
        <v>0</v>
      </c>
      <c r="AJ187" s="169">
        <f t="shared" si="85"/>
        <v>0</v>
      </c>
      <c r="AK187" s="170">
        <f t="shared" si="86"/>
        <v>0</v>
      </c>
      <c r="AL187" s="167">
        <f t="shared" si="87"/>
        <v>0</v>
      </c>
      <c r="AM187" s="166">
        <f t="shared" si="88"/>
        <v>0</v>
      </c>
      <c r="AN187" s="168">
        <f t="shared" si="89"/>
        <v>0</v>
      </c>
      <c r="AO187" s="169">
        <f t="shared" si="90"/>
        <v>0</v>
      </c>
      <c r="AP187" s="170">
        <f t="shared" si="91"/>
        <v>0</v>
      </c>
      <c r="AQ187" s="166">
        <f t="shared" si="92"/>
        <v>0</v>
      </c>
      <c r="AS187" s="56">
        <f>'Ship Data Metric'!E52*0.03280839895</f>
        <v>0</v>
      </c>
      <c r="AT187" s="96"/>
      <c r="AU187" s="168">
        <f t="shared" si="93"/>
        <v>0</v>
      </c>
      <c r="AV187" s="169">
        <f t="shared" si="94"/>
        <v>0</v>
      </c>
      <c r="AW187" s="170">
        <f t="shared" si="95"/>
        <v>0</v>
      </c>
      <c r="AX187" s="167">
        <f t="shared" si="96"/>
        <v>0</v>
      </c>
      <c r="AY187" s="166">
        <f t="shared" si="97"/>
        <v>0</v>
      </c>
    </row>
    <row r="188" ht="15.75" customHeight="1">
      <c r="AA188" s="96"/>
      <c r="AB188" s="76" t="s">
        <v>26</v>
      </c>
      <c r="AC188" s="56">
        <f>IF('Ship Data Imperial'!E53&gt;0,'Ship Data Imperial'!E53,AS188)</f>
        <v>0</v>
      </c>
      <c r="AD188" s="168">
        <f t="shared" si="98"/>
        <v>0</v>
      </c>
      <c r="AE188" s="169">
        <f t="shared" si="99"/>
        <v>0</v>
      </c>
      <c r="AF188" s="170">
        <f t="shared" si="81"/>
        <v>0</v>
      </c>
      <c r="AG188" s="166">
        <f t="shared" si="82"/>
        <v>0</v>
      </c>
      <c r="AH188" s="167">
        <f t="shared" si="83"/>
        <v>0</v>
      </c>
      <c r="AI188" s="168">
        <f t="shared" si="84"/>
        <v>0</v>
      </c>
      <c r="AJ188" s="169">
        <f t="shared" si="85"/>
        <v>0</v>
      </c>
      <c r="AK188" s="170">
        <f t="shared" si="86"/>
        <v>0</v>
      </c>
      <c r="AL188" s="167">
        <f t="shared" si="87"/>
        <v>0</v>
      </c>
      <c r="AM188" s="166">
        <f t="shared" si="88"/>
        <v>0</v>
      </c>
      <c r="AN188" s="168">
        <f t="shared" si="89"/>
        <v>0</v>
      </c>
      <c r="AO188" s="169">
        <f t="shared" si="90"/>
        <v>0</v>
      </c>
      <c r="AP188" s="170">
        <f t="shared" si="91"/>
        <v>0</v>
      </c>
      <c r="AQ188" s="166">
        <f t="shared" si="92"/>
        <v>0</v>
      </c>
      <c r="AS188" s="56">
        <f>'Ship Data Metric'!E53*0.03280839895</f>
        <v>0</v>
      </c>
      <c r="AT188" s="96"/>
      <c r="AU188" s="168">
        <f t="shared" si="93"/>
        <v>0</v>
      </c>
      <c r="AV188" s="169">
        <f t="shared" si="94"/>
        <v>0</v>
      </c>
      <c r="AW188" s="170">
        <f t="shared" si="95"/>
        <v>0</v>
      </c>
      <c r="AX188" s="167">
        <f t="shared" si="96"/>
        <v>0</v>
      </c>
      <c r="AY188" s="166">
        <f t="shared" si="97"/>
        <v>0</v>
      </c>
    </row>
    <row r="189" ht="15.75" customHeight="1">
      <c r="AA189" s="96"/>
      <c r="AB189" s="76" t="s">
        <v>27</v>
      </c>
      <c r="AC189" s="56">
        <f>IF('Ship Data Imperial'!E54&gt;0,'Ship Data Imperial'!E54,AS189)</f>
        <v>0</v>
      </c>
      <c r="AD189" s="168">
        <f t="shared" si="98"/>
        <v>0</v>
      </c>
      <c r="AE189" s="169">
        <f t="shared" si="99"/>
        <v>0</v>
      </c>
      <c r="AF189" s="170">
        <f t="shared" si="81"/>
        <v>0</v>
      </c>
      <c r="AG189" s="166">
        <f t="shared" si="82"/>
        <v>0</v>
      </c>
      <c r="AH189" s="167">
        <f t="shared" si="83"/>
        <v>0</v>
      </c>
      <c r="AI189" s="168">
        <f t="shared" si="84"/>
        <v>0</v>
      </c>
      <c r="AJ189" s="169">
        <f t="shared" si="85"/>
        <v>0</v>
      </c>
      <c r="AK189" s="170">
        <f t="shared" si="86"/>
        <v>0</v>
      </c>
      <c r="AL189" s="167">
        <f t="shared" si="87"/>
        <v>0</v>
      </c>
      <c r="AM189" s="166">
        <f t="shared" si="88"/>
        <v>0</v>
      </c>
      <c r="AN189" s="168">
        <f t="shared" si="89"/>
        <v>0</v>
      </c>
      <c r="AO189" s="169">
        <f t="shared" si="90"/>
        <v>0</v>
      </c>
      <c r="AP189" s="170">
        <f t="shared" si="91"/>
        <v>0</v>
      </c>
      <c r="AQ189" s="166">
        <f t="shared" si="92"/>
        <v>0</v>
      </c>
      <c r="AS189" s="56">
        <f>'Ship Data Metric'!E54*0.03280839895</f>
        <v>0</v>
      </c>
      <c r="AT189" s="96"/>
      <c r="AU189" s="168">
        <f t="shared" si="93"/>
        <v>0</v>
      </c>
      <c r="AV189" s="169">
        <f t="shared" si="94"/>
        <v>0</v>
      </c>
      <c r="AW189" s="170">
        <f t="shared" si="95"/>
        <v>0</v>
      </c>
      <c r="AX189" s="167">
        <f t="shared" si="96"/>
        <v>0</v>
      </c>
      <c r="AY189" s="166">
        <f t="shared" si="97"/>
        <v>0</v>
      </c>
    </row>
    <row r="190" ht="15.75" customHeight="1">
      <c r="AA190" s="96"/>
      <c r="AB190" s="76" t="s">
        <v>28</v>
      </c>
      <c r="AC190" s="56">
        <f>IF('Ship Data Imperial'!E55&gt;0,'Ship Data Imperial'!E55,AS190)</f>
        <v>0</v>
      </c>
      <c r="AD190" s="168">
        <f t="shared" si="98"/>
        <v>0</v>
      </c>
      <c r="AE190" s="169">
        <f t="shared" si="99"/>
        <v>0</v>
      </c>
      <c r="AF190" s="170">
        <f t="shared" si="81"/>
        <v>0</v>
      </c>
      <c r="AG190" s="166">
        <f t="shared" si="82"/>
        <v>0</v>
      </c>
      <c r="AH190" s="167">
        <f t="shared" si="83"/>
        <v>0</v>
      </c>
      <c r="AI190" s="168">
        <f t="shared" si="84"/>
        <v>0</v>
      </c>
      <c r="AJ190" s="169">
        <f t="shared" si="85"/>
        <v>0</v>
      </c>
      <c r="AK190" s="170">
        <f t="shared" si="86"/>
        <v>0</v>
      </c>
      <c r="AL190" s="167">
        <f t="shared" si="87"/>
        <v>0</v>
      </c>
      <c r="AM190" s="166">
        <f t="shared" si="88"/>
        <v>0</v>
      </c>
      <c r="AN190" s="168">
        <f t="shared" si="89"/>
        <v>0</v>
      </c>
      <c r="AO190" s="169">
        <f t="shared" si="90"/>
        <v>0</v>
      </c>
      <c r="AP190" s="170">
        <f t="shared" si="91"/>
        <v>0</v>
      </c>
      <c r="AQ190" s="166">
        <f t="shared" si="92"/>
        <v>0</v>
      </c>
      <c r="AS190" s="56">
        <f>'Ship Data Metric'!E55*0.03280839895</f>
        <v>0</v>
      </c>
      <c r="AT190" s="96"/>
      <c r="AU190" s="168">
        <f t="shared" si="93"/>
        <v>0</v>
      </c>
      <c r="AV190" s="169">
        <f t="shared" si="94"/>
        <v>0</v>
      </c>
      <c r="AW190" s="170">
        <f t="shared" si="95"/>
        <v>0</v>
      </c>
      <c r="AX190" s="167">
        <f t="shared" si="96"/>
        <v>0</v>
      </c>
      <c r="AY190" s="166">
        <f t="shared" si="97"/>
        <v>0</v>
      </c>
    </row>
    <row r="191" ht="15.75" customHeight="1">
      <c r="AA191" s="96"/>
      <c r="AB191" s="76" t="s">
        <v>29</v>
      </c>
      <c r="AC191" s="56">
        <f>IF('Ship Data Imperial'!E56&gt;0,'Ship Data Imperial'!E56,AS191)</f>
        <v>0</v>
      </c>
      <c r="AD191" s="168">
        <f t="shared" si="98"/>
        <v>0</v>
      </c>
      <c r="AE191" s="169">
        <f t="shared" si="99"/>
        <v>0</v>
      </c>
      <c r="AF191" s="170">
        <f t="shared" si="81"/>
        <v>0</v>
      </c>
      <c r="AG191" s="166">
        <f t="shared" si="82"/>
        <v>0</v>
      </c>
      <c r="AH191" s="167">
        <f t="shared" si="83"/>
        <v>0</v>
      </c>
      <c r="AI191" s="168">
        <f t="shared" si="84"/>
        <v>0</v>
      </c>
      <c r="AJ191" s="169">
        <f t="shared" si="85"/>
        <v>0</v>
      </c>
      <c r="AK191" s="170">
        <f t="shared" si="86"/>
        <v>0</v>
      </c>
      <c r="AL191" s="167">
        <f t="shared" si="87"/>
        <v>0</v>
      </c>
      <c r="AM191" s="166">
        <f t="shared" si="88"/>
        <v>0</v>
      </c>
      <c r="AN191" s="168">
        <f t="shared" si="89"/>
        <v>0</v>
      </c>
      <c r="AO191" s="169">
        <f t="shared" si="90"/>
        <v>0</v>
      </c>
      <c r="AP191" s="170">
        <f t="shared" si="91"/>
        <v>0</v>
      </c>
      <c r="AQ191" s="166">
        <f t="shared" si="92"/>
        <v>0</v>
      </c>
      <c r="AS191" s="56">
        <f>'Ship Data Metric'!E56*0.03280839895</f>
        <v>0</v>
      </c>
      <c r="AT191" s="96"/>
      <c r="AU191" s="168">
        <f t="shared" si="93"/>
        <v>0</v>
      </c>
      <c r="AV191" s="169">
        <f t="shared" si="94"/>
        <v>0</v>
      </c>
      <c r="AW191" s="170">
        <f t="shared" si="95"/>
        <v>0</v>
      </c>
      <c r="AX191" s="167">
        <f t="shared" si="96"/>
        <v>0</v>
      </c>
      <c r="AY191" s="166">
        <f t="shared" si="97"/>
        <v>0</v>
      </c>
    </row>
    <row r="192" ht="15.75" customHeight="1">
      <c r="AA192" s="75" t="s">
        <v>38</v>
      </c>
      <c r="AB192" s="76" t="s">
        <v>24</v>
      </c>
      <c r="AC192" s="56">
        <f>IF('Ship Data Imperial'!E57&gt;0,'Ship Data Imperial'!E57,AS192)</f>
        <v>0</v>
      </c>
      <c r="AD192" s="168">
        <f t="shared" si="98"/>
        <v>0</v>
      </c>
      <c r="AE192" s="169">
        <f t="shared" si="99"/>
        <v>0</v>
      </c>
      <c r="AF192" s="170">
        <f t="shared" si="81"/>
        <v>0</v>
      </c>
      <c r="AG192" s="166">
        <f t="shared" ref="AG192:AG271" si="100">IF(AC192&gt;0,$H$13*0.5714,0)</f>
        <v>0</v>
      </c>
      <c r="AH192" s="167">
        <f t="shared" ref="AH192:AH271" si="101">IF(AC192&gt;0,$H$8*0.5714,0)</f>
        <v>0</v>
      </c>
      <c r="AI192" s="168">
        <f t="shared" ref="AI192:AI271" si="102">IF(AC192&gt;0,$H$20*0.5714,0)</f>
        <v>0</v>
      </c>
      <c r="AJ192" s="169">
        <f t="shared" ref="AJ192:AJ271" si="103">IF(AC192&gt;0,$H$14*0.5714,0)</f>
        <v>0</v>
      </c>
      <c r="AK192" s="170">
        <f t="shared" ref="AK192:AK271" si="104">IF(AC192&gt;0,$H$9*0.5714,0)</f>
        <v>0</v>
      </c>
      <c r="AL192" s="167">
        <f t="shared" ref="AL192:AL271" si="105">IF(AC192&gt;0,$H$21*0.5714,0)</f>
        <v>0</v>
      </c>
      <c r="AM192" s="166">
        <f t="shared" si="88"/>
        <v>0</v>
      </c>
      <c r="AN192" s="168">
        <f t="shared" si="89"/>
        <v>0</v>
      </c>
      <c r="AO192" s="169">
        <f t="shared" ref="AO192:AO271" si="106">IF(AC192&gt;0,$H$23*0.5714,0)</f>
        <v>0</v>
      </c>
      <c r="AP192" s="170">
        <f t="shared" ref="AP192:AP271" si="107">IF(AC192&gt;0,$H$5*0.5714,0)</f>
        <v>0</v>
      </c>
      <c r="AQ192" s="166">
        <f t="shared" ref="AQ192:AQ271" si="108">IF(AC192&gt;0,$H$6*0.5714,0)</f>
        <v>0</v>
      </c>
      <c r="AS192" s="56">
        <f>'Ship Data Metric'!E57*0.03280839895</f>
        <v>0</v>
      </c>
      <c r="AT192" s="75" t="s">
        <v>38</v>
      </c>
      <c r="AU192" s="168">
        <f t="shared" ref="AU192:AU271" si="109">IF(AC192&gt;0,$H$28*0.5714,0)</f>
        <v>0</v>
      </c>
      <c r="AV192" s="169">
        <f t="shared" ref="AV192:AV271" si="110">IF(AC192&gt;0,$H$30*0.5714,0)</f>
        <v>0</v>
      </c>
      <c r="AW192" s="170">
        <f t="shared" ref="AW192:AW271" si="111">IF(AC192&gt;0,$H$32*0.5714,0)</f>
        <v>0</v>
      </c>
      <c r="AX192" s="167">
        <f t="shared" ref="AX192:AX271" si="112">IF(AC192&gt;0,$H$34*0.5714,0)</f>
        <v>0</v>
      </c>
      <c r="AY192" s="166">
        <f t="shared" ref="AY192:AY271" si="113">IF(AC192&gt;0,$H$36*0.5714,0)</f>
        <v>0</v>
      </c>
    </row>
    <row r="193" ht="15.75" customHeight="1">
      <c r="AA193" s="96"/>
      <c r="AB193" s="76" t="s">
        <v>25</v>
      </c>
      <c r="AC193" s="56">
        <f>IF('Ship Data Imperial'!E58&gt;0,'Ship Data Imperial'!E58,AS193)</f>
        <v>0</v>
      </c>
      <c r="AD193" s="168">
        <f t="shared" si="98"/>
        <v>0</v>
      </c>
      <c r="AE193" s="169">
        <f t="shared" si="99"/>
        <v>0</v>
      </c>
      <c r="AF193" s="170">
        <f t="shared" si="81"/>
        <v>0</v>
      </c>
      <c r="AG193" s="166">
        <f t="shared" si="100"/>
        <v>0</v>
      </c>
      <c r="AH193" s="167">
        <f t="shared" si="101"/>
        <v>0</v>
      </c>
      <c r="AI193" s="168">
        <f t="shared" si="102"/>
        <v>0</v>
      </c>
      <c r="AJ193" s="169">
        <f t="shared" si="103"/>
        <v>0</v>
      </c>
      <c r="AK193" s="170">
        <f t="shared" si="104"/>
        <v>0</v>
      </c>
      <c r="AL193" s="167">
        <f t="shared" si="105"/>
        <v>0</v>
      </c>
      <c r="AM193" s="166">
        <f t="shared" si="88"/>
        <v>0</v>
      </c>
      <c r="AN193" s="168">
        <f t="shared" si="89"/>
        <v>0</v>
      </c>
      <c r="AO193" s="169">
        <f t="shared" si="106"/>
        <v>0</v>
      </c>
      <c r="AP193" s="170">
        <f t="shared" si="107"/>
        <v>0</v>
      </c>
      <c r="AQ193" s="166">
        <f t="shared" si="108"/>
        <v>0</v>
      </c>
      <c r="AS193" s="56">
        <f>'Ship Data Metric'!E58*0.03280839895</f>
        <v>0</v>
      </c>
      <c r="AT193" s="96"/>
      <c r="AU193" s="168">
        <f t="shared" si="109"/>
        <v>0</v>
      </c>
      <c r="AV193" s="169">
        <f t="shared" si="110"/>
        <v>0</v>
      </c>
      <c r="AW193" s="170">
        <f t="shared" si="111"/>
        <v>0</v>
      </c>
      <c r="AX193" s="167">
        <f t="shared" si="112"/>
        <v>0</v>
      </c>
      <c r="AY193" s="166">
        <f t="shared" si="113"/>
        <v>0</v>
      </c>
    </row>
    <row r="194" ht="15.75" customHeight="1">
      <c r="AA194" s="96"/>
      <c r="AB194" s="76" t="s">
        <v>26</v>
      </c>
      <c r="AC194" s="56">
        <f>IF('Ship Data Imperial'!E59&gt;0,'Ship Data Imperial'!E59,AS194)</f>
        <v>0</v>
      </c>
      <c r="AD194" s="168">
        <f t="shared" si="98"/>
        <v>0</v>
      </c>
      <c r="AE194" s="169">
        <f t="shared" si="99"/>
        <v>0</v>
      </c>
      <c r="AF194" s="170">
        <f t="shared" si="81"/>
        <v>0</v>
      </c>
      <c r="AG194" s="166">
        <f t="shared" si="100"/>
        <v>0</v>
      </c>
      <c r="AH194" s="167">
        <f t="shared" si="101"/>
        <v>0</v>
      </c>
      <c r="AI194" s="168">
        <f t="shared" si="102"/>
        <v>0</v>
      </c>
      <c r="AJ194" s="169">
        <f t="shared" si="103"/>
        <v>0</v>
      </c>
      <c r="AK194" s="170">
        <f t="shared" si="104"/>
        <v>0</v>
      </c>
      <c r="AL194" s="167">
        <f t="shared" si="105"/>
        <v>0</v>
      </c>
      <c r="AM194" s="166">
        <f t="shared" si="88"/>
        <v>0</v>
      </c>
      <c r="AN194" s="168">
        <f t="shared" si="89"/>
        <v>0</v>
      </c>
      <c r="AO194" s="169">
        <f t="shared" si="106"/>
        <v>0</v>
      </c>
      <c r="AP194" s="170">
        <f t="shared" si="107"/>
        <v>0</v>
      </c>
      <c r="AQ194" s="166">
        <f t="shared" si="108"/>
        <v>0</v>
      </c>
      <c r="AS194" s="56">
        <f>'Ship Data Metric'!E59*0.03280839895</f>
        <v>0</v>
      </c>
      <c r="AT194" s="96"/>
      <c r="AU194" s="168">
        <f t="shared" si="109"/>
        <v>0</v>
      </c>
      <c r="AV194" s="169">
        <f t="shared" si="110"/>
        <v>0</v>
      </c>
      <c r="AW194" s="170">
        <f t="shared" si="111"/>
        <v>0</v>
      </c>
      <c r="AX194" s="167">
        <f t="shared" si="112"/>
        <v>0</v>
      </c>
      <c r="AY194" s="166">
        <f t="shared" si="113"/>
        <v>0</v>
      </c>
    </row>
    <row r="195" ht="15.75" customHeight="1">
      <c r="AA195" s="96"/>
      <c r="AB195" s="76" t="s">
        <v>27</v>
      </c>
      <c r="AC195" s="56">
        <f>IF('Ship Data Imperial'!E60&gt;0,'Ship Data Imperial'!E60,AS195)</f>
        <v>0</v>
      </c>
      <c r="AD195" s="168">
        <f t="shared" si="98"/>
        <v>0</v>
      </c>
      <c r="AE195" s="169">
        <f t="shared" si="99"/>
        <v>0</v>
      </c>
      <c r="AF195" s="170">
        <f t="shared" si="81"/>
        <v>0</v>
      </c>
      <c r="AG195" s="166">
        <f t="shared" si="100"/>
        <v>0</v>
      </c>
      <c r="AH195" s="167">
        <f t="shared" si="101"/>
        <v>0</v>
      </c>
      <c r="AI195" s="168">
        <f t="shared" si="102"/>
        <v>0</v>
      </c>
      <c r="AJ195" s="169">
        <f t="shared" si="103"/>
        <v>0</v>
      </c>
      <c r="AK195" s="170">
        <f t="shared" si="104"/>
        <v>0</v>
      </c>
      <c r="AL195" s="167">
        <f t="shared" si="105"/>
        <v>0</v>
      </c>
      <c r="AM195" s="166">
        <f t="shared" si="88"/>
        <v>0</v>
      </c>
      <c r="AN195" s="168">
        <f t="shared" si="89"/>
        <v>0</v>
      </c>
      <c r="AO195" s="169">
        <f t="shared" si="106"/>
        <v>0</v>
      </c>
      <c r="AP195" s="170">
        <f t="shared" si="107"/>
        <v>0</v>
      </c>
      <c r="AQ195" s="166">
        <f t="shared" si="108"/>
        <v>0</v>
      </c>
      <c r="AS195" s="56">
        <f>'Ship Data Metric'!E60*0.03280839895</f>
        <v>0</v>
      </c>
      <c r="AT195" s="96"/>
      <c r="AU195" s="168">
        <f t="shared" si="109"/>
        <v>0</v>
      </c>
      <c r="AV195" s="169">
        <f t="shared" si="110"/>
        <v>0</v>
      </c>
      <c r="AW195" s="170">
        <f t="shared" si="111"/>
        <v>0</v>
      </c>
      <c r="AX195" s="167">
        <f t="shared" si="112"/>
        <v>0</v>
      </c>
      <c r="AY195" s="166">
        <f t="shared" si="113"/>
        <v>0</v>
      </c>
    </row>
    <row r="196" ht="15.75" customHeight="1">
      <c r="AA196" s="96"/>
      <c r="AB196" s="76" t="s">
        <v>28</v>
      </c>
      <c r="AC196" s="56">
        <f>IF('Ship Data Imperial'!E61&gt;0,'Ship Data Imperial'!E61,AS196)</f>
        <v>0</v>
      </c>
      <c r="AD196" s="168">
        <f t="shared" si="98"/>
        <v>0</v>
      </c>
      <c r="AE196" s="169">
        <f t="shared" si="99"/>
        <v>0</v>
      </c>
      <c r="AF196" s="170">
        <f t="shared" si="81"/>
        <v>0</v>
      </c>
      <c r="AG196" s="166">
        <f t="shared" si="100"/>
        <v>0</v>
      </c>
      <c r="AH196" s="167">
        <f t="shared" si="101"/>
        <v>0</v>
      </c>
      <c r="AI196" s="168">
        <f t="shared" si="102"/>
        <v>0</v>
      </c>
      <c r="AJ196" s="169">
        <f t="shared" si="103"/>
        <v>0</v>
      </c>
      <c r="AK196" s="170">
        <f t="shared" si="104"/>
        <v>0</v>
      </c>
      <c r="AL196" s="167">
        <f t="shared" si="105"/>
        <v>0</v>
      </c>
      <c r="AM196" s="166">
        <f t="shared" si="88"/>
        <v>0</v>
      </c>
      <c r="AN196" s="168">
        <f t="shared" si="89"/>
        <v>0</v>
      </c>
      <c r="AO196" s="169">
        <f t="shared" si="106"/>
        <v>0</v>
      </c>
      <c r="AP196" s="170">
        <f t="shared" si="107"/>
        <v>0</v>
      </c>
      <c r="AQ196" s="166">
        <f t="shared" si="108"/>
        <v>0</v>
      </c>
      <c r="AS196" s="56">
        <f>'Ship Data Metric'!E61*0.03280839895</f>
        <v>0</v>
      </c>
      <c r="AT196" s="96"/>
      <c r="AU196" s="168">
        <f t="shared" si="109"/>
        <v>0</v>
      </c>
      <c r="AV196" s="169">
        <f t="shared" si="110"/>
        <v>0</v>
      </c>
      <c r="AW196" s="170">
        <f t="shared" si="111"/>
        <v>0</v>
      </c>
      <c r="AX196" s="167">
        <f t="shared" si="112"/>
        <v>0</v>
      </c>
      <c r="AY196" s="166">
        <f t="shared" si="113"/>
        <v>0</v>
      </c>
    </row>
    <row r="197" ht="15.75" customHeight="1">
      <c r="AA197" s="96"/>
      <c r="AB197" s="76" t="s">
        <v>29</v>
      </c>
      <c r="AC197" s="56">
        <f>IF('Ship Data Imperial'!E62&gt;0,'Ship Data Imperial'!E62,AS197)</f>
        <v>0</v>
      </c>
      <c r="AD197" s="168">
        <f t="shared" si="98"/>
        <v>0</v>
      </c>
      <c r="AE197" s="169">
        <f t="shared" si="99"/>
        <v>0</v>
      </c>
      <c r="AF197" s="170">
        <f t="shared" si="81"/>
        <v>0</v>
      </c>
      <c r="AG197" s="166">
        <f t="shared" si="100"/>
        <v>0</v>
      </c>
      <c r="AH197" s="167">
        <f t="shared" si="101"/>
        <v>0</v>
      </c>
      <c r="AI197" s="168">
        <f t="shared" si="102"/>
        <v>0</v>
      </c>
      <c r="AJ197" s="169">
        <f t="shared" si="103"/>
        <v>0</v>
      </c>
      <c r="AK197" s="170">
        <f t="shared" si="104"/>
        <v>0</v>
      </c>
      <c r="AL197" s="167">
        <f t="shared" si="105"/>
        <v>0</v>
      </c>
      <c r="AM197" s="166">
        <f t="shared" si="88"/>
        <v>0</v>
      </c>
      <c r="AN197" s="168">
        <f t="shared" si="89"/>
        <v>0</v>
      </c>
      <c r="AO197" s="169">
        <f t="shared" si="106"/>
        <v>0</v>
      </c>
      <c r="AP197" s="170">
        <f t="shared" si="107"/>
        <v>0</v>
      </c>
      <c r="AQ197" s="166">
        <f t="shared" si="108"/>
        <v>0</v>
      </c>
      <c r="AS197" s="56">
        <f>'Ship Data Metric'!E62*0.03280839895</f>
        <v>0</v>
      </c>
      <c r="AT197" s="96"/>
      <c r="AU197" s="168">
        <f t="shared" si="109"/>
        <v>0</v>
      </c>
      <c r="AV197" s="169">
        <f t="shared" si="110"/>
        <v>0</v>
      </c>
      <c r="AW197" s="170">
        <f t="shared" si="111"/>
        <v>0</v>
      </c>
      <c r="AX197" s="167">
        <f t="shared" si="112"/>
        <v>0</v>
      </c>
      <c r="AY197" s="166">
        <f t="shared" si="113"/>
        <v>0</v>
      </c>
    </row>
    <row r="198" ht="15.75" customHeight="1">
      <c r="AA198" s="75" t="s">
        <v>39</v>
      </c>
      <c r="AB198" s="158" t="s">
        <v>24</v>
      </c>
      <c r="AC198" s="56">
        <f>IF('Ship Data Imperial'!E63&gt;0,'Ship Data Imperial'!E63,AS198)</f>
        <v>0</v>
      </c>
      <c r="AD198" s="168">
        <f t="shared" ref="AD198:AD241" si="114">IF(AC198&gt;0,$D$12*0.5514,0)</f>
        <v>0</v>
      </c>
      <c r="AE198" s="169">
        <f t="shared" ref="AE198:AE241" si="115">IF(AC198&gt;0,$D$7*0.5514,0)</f>
        <v>0</v>
      </c>
      <c r="AF198" s="170">
        <f t="shared" ref="AF198:AF241" si="116">IF(AC198&gt;0,$H$17*0.5514,0)</f>
        <v>0</v>
      </c>
      <c r="AG198" s="166">
        <f t="shared" si="100"/>
        <v>0</v>
      </c>
      <c r="AH198" s="167">
        <f t="shared" si="101"/>
        <v>0</v>
      </c>
      <c r="AI198" s="168">
        <f t="shared" si="102"/>
        <v>0</v>
      </c>
      <c r="AJ198" s="169">
        <f t="shared" si="103"/>
        <v>0</v>
      </c>
      <c r="AK198" s="170">
        <f t="shared" si="104"/>
        <v>0</v>
      </c>
      <c r="AL198" s="167">
        <f t="shared" si="105"/>
        <v>0</v>
      </c>
      <c r="AM198" s="166">
        <f t="shared" si="88"/>
        <v>0</v>
      </c>
      <c r="AN198" s="168">
        <f t="shared" si="89"/>
        <v>0</v>
      </c>
      <c r="AO198" s="169">
        <f t="shared" si="106"/>
        <v>0</v>
      </c>
      <c r="AP198" s="170">
        <f t="shared" si="107"/>
        <v>0</v>
      </c>
      <c r="AQ198" s="166">
        <f t="shared" si="108"/>
        <v>0</v>
      </c>
      <c r="AS198" s="56">
        <f>'Ship Data Metric'!E63*0.03280839895</f>
        <v>0</v>
      </c>
      <c r="AT198" s="75" t="s">
        <v>39</v>
      </c>
      <c r="AU198" s="168">
        <f t="shared" si="109"/>
        <v>0</v>
      </c>
      <c r="AV198" s="169">
        <f t="shared" si="110"/>
        <v>0</v>
      </c>
      <c r="AW198" s="170">
        <f t="shared" si="111"/>
        <v>0</v>
      </c>
      <c r="AX198" s="167">
        <f t="shared" si="112"/>
        <v>0</v>
      </c>
      <c r="AY198" s="166">
        <f t="shared" si="113"/>
        <v>0</v>
      </c>
    </row>
    <row r="199" ht="15.75" customHeight="1">
      <c r="AA199" s="75"/>
      <c r="AB199" s="158" t="s">
        <v>25</v>
      </c>
      <c r="AC199" s="56">
        <f>IF('Ship Data Imperial'!E64&gt;0,'Ship Data Imperial'!E64,AS199)</f>
        <v>0</v>
      </c>
      <c r="AD199" s="168">
        <f t="shared" si="114"/>
        <v>0</v>
      </c>
      <c r="AE199" s="169">
        <f t="shared" si="115"/>
        <v>0</v>
      </c>
      <c r="AF199" s="170">
        <f t="shared" si="116"/>
        <v>0</v>
      </c>
      <c r="AG199" s="166">
        <f t="shared" si="100"/>
        <v>0</v>
      </c>
      <c r="AH199" s="167">
        <f t="shared" si="101"/>
        <v>0</v>
      </c>
      <c r="AI199" s="168">
        <f t="shared" si="102"/>
        <v>0</v>
      </c>
      <c r="AJ199" s="169">
        <f t="shared" si="103"/>
        <v>0</v>
      </c>
      <c r="AK199" s="170">
        <f t="shared" si="104"/>
        <v>0</v>
      </c>
      <c r="AL199" s="167">
        <f t="shared" si="105"/>
        <v>0</v>
      </c>
      <c r="AM199" s="166">
        <f t="shared" si="88"/>
        <v>0</v>
      </c>
      <c r="AN199" s="168">
        <f t="shared" si="89"/>
        <v>0</v>
      </c>
      <c r="AO199" s="169">
        <f t="shared" si="106"/>
        <v>0</v>
      </c>
      <c r="AP199" s="170">
        <f t="shared" si="107"/>
        <v>0</v>
      </c>
      <c r="AQ199" s="166">
        <f t="shared" si="108"/>
        <v>0</v>
      </c>
      <c r="AS199" s="56">
        <f>'Ship Data Metric'!E64*0.03280839895</f>
        <v>0</v>
      </c>
      <c r="AT199" s="75"/>
      <c r="AU199" s="168">
        <f t="shared" si="109"/>
        <v>0</v>
      </c>
      <c r="AV199" s="169">
        <f t="shared" si="110"/>
        <v>0</v>
      </c>
      <c r="AW199" s="170">
        <f t="shared" si="111"/>
        <v>0</v>
      </c>
      <c r="AX199" s="167">
        <f t="shared" si="112"/>
        <v>0</v>
      </c>
      <c r="AY199" s="166">
        <f t="shared" si="113"/>
        <v>0</v>
      </c>
    </row>
    <row r="200" ht="15.75" customHeight="1">
      <c r="AA200" s="75"/>
      <c r="AB200" s="158" t="s">
        <v>40</v>
      </c>
      <c r="AC200" s="56">
        <f>IF('Ship Data Imperial'!E65&gt;0,'Ship Data Imperial'!E65,AS200)</f>
        <v>0</v>
      </c>
      <c r="AD200" s="168">
        <f t="shared" si="114"/>
        <v>0</v>
      </c>
      <c r="AE200" s="169">
        <f t="shared" si="115"/>
        <v>0</v>
      </c>
      <c r="AF200" s="170">
        <f t="shared" si="116"/>
        <v>0</v>
      </c>
      <c r="AG200" s="166">
        <f t="shared" si="100"/>
        <v>0</v>
      </c>
      <c r="AH200" s="167">
        <f t="shared" si="101"/>
        <v>0</v>
      </c>
      <c r="AI200" s="168">
        <f t="shared" si="102"/>
        <v>0</v>
      </c>
      <c r="AJ200" s="169">
        <f t="shared" si="103"/>
        <v>0</v>
      </c>
      <c r="AK200" s="170">
        <f t="shared" si="104"/>
        <v>0</v>
      </c>
      <c r="AL200" s="167">
        <f t="shared" si="105"/>
        <v>0</v>
      </c>
      <c r="AM200" s="166">
        <f t="shared" si="88"/>
        <v>0</v>
      </c>
      <c r="AN200" s="168">
        <f t="shared" si="89"/>
        <v>0</v>
      </c>
      <c r="AO200" s="169">
        <f t="shared" si="106"/>
        <v>0</v>
      </c>
      <c r="AP200" s="170">
        <f t="shared" si="107"/>
        <v>0</v>
      </c>
      <c r="AQ200" s="166">
        <f t="shared" si="108"/>
        <v>0</v>
      </c>
      <c r="AS200" s="56">
        <f>'Ship Data Metric'!E65*0.03280839895</f>
        <v>0</v>
      </c>
      <c r="AT200" s="75"/>
      <c r="AU200" s="168">
        <f t="shared" si="109"/>
        <v>0</v>
      </c>
      <c r="AV200" s="169">
        <f t="shared" si="110"/>
        <v>0</v>
      </c>
      <c r="AW200" s="170">
        <f t="shared" si="111"/>
        <v>0</v>
      </c>
      <c r="AX200" s="167">
        <f t="shared" si="112"/>
        <v>0</v>
      </c>
      <c r="AY200" s="166">
        <f t="shared" si="113"/>
        <v>0</v>
      </c>
    </row>
    <row r="201" ht="15.75" customHeight="1">
      <c r="AA201" s="75"/>
      <c r="AB201" s="158" t="s">
        <v>41</v>
      </c>
      <c r="AC201" s="56">
        <f>IF('Ship Data Imperial'!E66&gt;0,'Ship Data Imperial'!E66,AS201)</f>
        <v>0</v>
      </c>
      <c r="AD201" s="168">
        <f t="shared" si="114"/>
        <v>0</v>
      </c>
      <c r="AE201" s="169">
        <f t="shared" si="115"/>
        <v>0</v>
      </c>
      <c r="AF201" s="170">
        <f t="shared" si="116"/>
        <v>0</v>
      </c>
      <c r="AG201" s="166">
        <f t="shared" si="100"/>
        <v>0</v>
      </c>
      <c r="AH201" s="167">
        <f t="shared" si="101"/>
        <v>0</v>
      </c>
      <c r="AI201" s="168">
        <f t="shared" si="102"/>
        <v>0</v>
      </c>
      <c r="AJ201" s="169">
        <f t="shared" si="103"/>
        <v>0</v>
      </c>
      <c r="AK201" s="170">
        <f t="shared" si="104"/>
        <v>0</v>
      </c>
      <c r="AL201" s="167">
        <f t="shared" si="105"/>
        <v>0</v>
      </c>
      <c r="AM201" s="166">
        <f t="shared" si="88"/>
        <v>0</v>
      </c>
      <c r="AN201" s="168">
        <f t="shared" si="89"/>
        <v>0</v>
      </c>
      <c r="AO201" s="169">
        <f t="shared" si="106"/>
        <v>0</v>
      </c>
      <c r="AP201" s="170">
        <f t="shared" si="107"/>
        <v>0</v>
      </c>
      <c r="AQ201" s="166">
        <f t="shared" si="108"/>
        <v>0</v>
      </c>
      <c r="AS201" s="56">
        <f>'Ship Data Metric'!E66*0.03280839895</f>
        <v>0</v>
      </c>
      <c r="AT201" s="75"/>
      <c r="AU201" s="168">
        <f t="shared" si="109"/>
        <v>0</v>
      </c>
      <c r="AV201" s="169">
        <f t="shared" si="110"/>
        <v>0</v>
      </c>
      <c r="AW201" s="170">
        <f t="shared" si="111"/>
        <v>0</v>
      </c>
      <c r="AX201" s="167">
        <f t="shared" si="112"/>
        <v>0</v>
      </c>
      <c r="AY201" s="166">
        <f t="shared" si="113"/>
        <v>0</v>
      </c>
    </row>
    <row r="202" ht="15.75" customHeight="1">
      <c r="AA202" s="75"/>
      <c r="AB202" s="158" t="s">
        <v>42</v>
      </c>
      <c r="AC202" s="56">
        <f>IF('Ship Data Imperial'!E67&gt;0,'Ship Data Imperial'!E67,AS202)</f>
        <v>0</v>
      </c>
      <c r="AD202" s="168">
        <f t="shared" si="114"/>
        <v>0</v>
      </c>
      <c r="AE202" s="169">
        <f t="shared" si="115"/>
        <v>0</v>
      </c>
      <c r="AF202" s="170">
        <f t="shared" si="116"/>
        <v>0</v>
      </c>
      <c r="AG202" s="166">
        <f t="shared" si="100"/>
        <v>0</v>
      </c>
      <c r="AH202" s="167">
        <f t="shared" si="101"/>
        <v>0</v>
      </c>
      <c r="AI202" s="168">
        <f t="shared" si="102"/>
        <v>0</v>
      </c>
      <c r="AJ202" s="169">
        <f t="shared" si="103"/>
        <v>0</v>
      </c>
      <c r="AK202" s="170">
        <f t="shared" si="104"/>
        <v>0</v>
      </c>
      <c r="AL202" s="167">
        <f t="shared" si="105"/>
        <v>0</v>
      </c>
      <c r="AM202" s="166">
        <f t="shared" si="88"/>
        <v>0</v>
      </c>
      <c r="AN202" s="168">
        <f t="shared" si="89"/>
        <v>0</v>
      </c>
      <c r="AO202" s="169">
        <f t="shared" si="106"/>
        <v>0</v>
      </c>
      <c r="AP202" s="170">
        <f t="shared" si="107"/>
        <v>0</v>
      </c>
      <c r="AQ202" s="166">
        <f t="shared" si="108"/>
        <v>0</v>
      </c>
      <c r="AS202" s="56">
        <f>'Ship Data Metric'!E67*0.03280839895</f>
        <v>0</v>
      </c>
      <c r="AT202" s="75"/>
      <c r="AU202" s="168">
        <f t="shared" si="109"/>
        <v>0</v>
      </c>
      <c r="AV202" s="169">
        <f t="shared" si="110"/>
        <v>0</v>
      </c>
      <c r="AW202" s="170">
        <f t="shared" si="111"/>
        <v>0</v>
      </c>
      <c r="AX202" s="167">
        <f t="shared" si="112"/>
        <v>0</v>
      </c>
      <c r="AY202" s="166">
        <f t="shared" si="113"/>
        <v>0</v>
      </c>
    </row>
    <row r="203" ht="15.75" customHeight="1">
      <c r="AA203" s="75"/>
      <c r="AB203" s="158" t="s">
        <v>43</v>
      </c>
      <c r="AC203" s="56">
        <f>IF('Ship Data Imperial'!E68&gt;0,'Ship Data Imperial'!E68,AS203)</f>
        <v>0</v>
      </c>
      <c r="AD203" s="168">
        <f t="shared" si="114"/>
        <v>0</v>
      </c>
      <c r="AE203" s="169">
        <f t="shared" si="115"/>
        <v>0</v>
      </c>
      <c r="AF203" s="170">
        <f t="shared" si="116"/>
        <v>0</v>
      </c>
      <c r="AG203" s="166">
        <f t="shared" si="100"/>
        <v>0</v>
      </c>
      <c r="AH203" s="167">
        <f t="shared" si="101"/>
        <v>0</v>
      </c>
      <c r="AI203" s="168">
        <f t="shared" si="102"/>
        <v>0</v>
      </c>
      <c r="AJ203" s="169">
        <f t="shared" si="103"/>
        <v>0</v>
      </c>
      <c r="AK203" s="170">
        <f t="shared" si="104"/>
        <v>0</v>
      </c>
      <c r="AL203" s="167">
        <f t="shared" si="105"/>
        <v>0</v>
      </c>
      <c r="AM203" s="166">
        <f t="shared" si="88"/>
        <v>0</v>
      </c>
      <c r="AN203" s="168">
        <f t="shared" si="89"/>
        <v>0</v>
      </c>
      <c r="AO203" s="169">
        <f t="shared" si="106"/>
        <v>0</v>
      </c>
      <c r="AP203" s="170">
        <f t="shared" si="107"/>
        <v>0</v>
      </c>
      <c r="AQ203" s="166">
        <f t="shared" si="108"/>
        <v>0</v>
      </c>
      <c r="AS203" s="56">
        <f>'Ship Data Metric'!E68*0.03280839895</f>
        <v>0</v>
      </c>
      <c r="AT203" s="75"/>
      <c r="AU203" s="168">
        <f t="shared" si="109"/>
        <v>0</v>
      </c>
      <c r="AV203" s="169">
        <f t="shared" si="110"/>
        <v>0</v>
      </c>
      <c r="AW203" s="170">
        <f t="shared" si="111"/>
        <v>0</v>
      </c>
      <c r="AX203" s="167">
        <f t="shared" si="112"/>
        <v>0</v>
      </c>
      <c r="AY203" s="166">
        <f t="shared" si="113"/>
        <v>0</v>
      </c>
    </row>
    <row r="204" ht="15.75" customHeight="1">
      <c r="AA204" s="75"/>
      <c r="AB204" s="158" t="s">
        <v>44</v>
      </c>
      <c r="AC204" s="56">
        <f>IF('Ship Data Imperial'!E69&gt;0,'Ship Data Imperial'!E69,AS204)</f>
        <v>0</v>
      </c>
      <c r="AD204" s="168">
        <f t="shared" si="114"/>
        <v>0</v>
      </c>
      <c r="AE204" s="169">
        <f t="shared" si="115"/>
        <v>0</v>
      </c>
      <c r="AF204" s="170">
        <f t="shared" si="116"/>
        <v>0</v>
      </c>
      <c r="AG204" s="166">
        <f t="shared" si="100"/>
        <v>0</v>
      </c>
      <c r="AH204" s="167">
        <f t="shared" si="101"/>
        <v>0</v>
      </c>
      <c r="AI204" s="168">
        <f t="shared" si="102"/>
        <v>0</v>
      </c>
      <c r="AJ204" s="169">
        <f t="shared" si="103"/>
        <v>0</v>
      </c>
      <c r="AK204" s="170">
        <f t="shared" si="104"/>
        <v>0</v>
      </c>
      <c r="AL204" s="167">
        <f t="shared" si="105"/>
        <v>0</v>
      </c>
      <c r="AM204" s="166">
        <f t="shared" si="88"/>
        <v>0</v>
      </c>
      <c r="AN204" s="168">
        <f t="shared" si="89"/>
        <v>0</v>
      </c>
      <c r="AO204" s="169">
        <f t="shared" si="106"/>
        <v>0</v>
      </c>
      <c r="AP204" s="170">
        <f t="shared" si="107"/>
        <v>0</v>
      </c>
      <c r="AQ204" s="166">
        <f t="shared" si="108"/>
        <v>0</v>
      </c>
      <c r="AS204" s="56">
        <f>'Ship Data Metric'!E69*0.03280839895</f>
        <v>0</v>
      </c>
      <c r="AT204" s="75"/>
      <c r="AU204" s="168">
        <f t="shared" si="109"/>
        <v>0</v>
      </c>
      <c r="AV204" s="169">
        <f t="shared" si="110"/>
        <v>0</v>
      </c>
      <c r="AW204" s="170">
        <f t="shared" si="111"/>
        <v>0</v>
      </c>
      <c r="AX204" s="167">
        <f t="shared" si="112"/>
        <v>0</v>
      </c>
      <c r="AY204" s="166">
        <f t="shared" si="113"/>
        <v>0</v>
      </c>
    </row>
    <row r="205" ht="15.75" customHeight="1">
      <c r="AA205" s="75"/>
      <c r="AB205" s="158" t="s">
        <v>45</v>
      </c>
      <c r="AC205" s="56">
        <f>IF('Ship Data Imperial'!E70&gt;0,'Ship Data Imperial'!E70,AS205)</f>
        <v>0</v>
      </c>
      <c r="AD205" s="168">
        <f t="shared" si="114"/>
        <v>0</v>
      </c>
      <c r="AE205" s="169">
        <f t="shared" si="115"/>
        <v>0</v>
      </c>
      <c r="AF205" s="170">
        <f t="shared" si="116"/>
        <v>0</v>
      </c>
      <c r="AG205" s="166">
        <f t="shared" si="100"/>
        <v>0</v>
      </c>
      <c r="AH205" s="167">
        <f t="shared" si="101"/>
        <v>0</v>
      </c>
      <c r="AI205" s="168">
        <f t="shared" si="102"/>
        <v>0</v>
      </c>
      <c r="AJ205" s="169">
        <f t="shared" si="103"/>
        <v>0</v>
      </c>
      <c r="AK205" s="170">
        <f t="shared" si="104"/>
        <v>0</v>
      </c>
      <c r="AL205" s="167">
        <f t="shared" si="105"/>
        <v>0</v>
      </c>
      <c r="AM205" s="166">
        <f t="shared" si="88"/>
        <v>0</v>
      </c>
      <c r="AN205" s="168">
        <f t="shared" si="89"/>
        <v>0</v>
      </c>
      <c r="AO205" s="169">
        <f t="shared" si="106"/>
        <v>0</v>
      </c>
      <c r="AP205" s="170">
        <f t="shared" si="107"/>
        <v>0</v>
      </c>
      <c r="AQ205" s="166">
        <f t="shared" si="108"/>
        <v>0</v>
      </c>
      <c r="AS205" s="56">
        <f>'Ship Data Metric'!E70*0.03280839895</f>
        <v>0</v>
      </c>
      <c r="AT205" s="75"/>
      <c r="AU205" s="168">
        <f t="shared" si="109"/>
        <v>0</v>
      </c>
      <c r="AV205" s="169">
        <f t="shared" si="110"/>
        <v>0</v>
      </c>
      <c r="AW205" s="170">
        <f t="shared" si="111"/>
        <v>0</v>
      </c>
      <c r="AX205" s="167">
        <f t="shared" si="112"/>
        <v>0</v>
      </c>
      <c r="AY205" s="166">
        <f t="shared" si="113"/>
        <v>0</v>
      </c>
    </row>
    <row r="206" ht="15.75" customHeight="1">
      <c r="AA206" s="75"/>
      <c r="AB206" s="158" t="s">
        <v>46</v>
      </c>
      <c r="AC206" s="56">
        <f>IF('Ship Data Imperial'!E71&gt;0,'Ship Data Imperial'!E71,AS206)</f>
        <v>0</v>
      </c>
      <c r="AD206" s="168">
        <f t="shared" si="114"/>
        <v>0</v>
      </c>
      <c r="AE206" s="169">
        <f t="shared" si="115"/>
        <v>0</v>
      </c>
      <c r="AF206" s="170">
        <f t="shared" si="116"/>
        <v>0</v>
      </c>
      <c r="AG206" s="166">
        <f t="shared" si="100"/>
        <v>0</v>
      </c>
      <c r="AH206" s="167">
        <f t="shared" si="101"/>
        <v>0</v>
      </c>
      <c r="AI206" s="168">
        <f t="shared" si="102"/>
        <v>0</v>
      </c>
      <c r="AJ206" s="169">
        <f t="shared" si="103"/>
        <v>0</v>
      </c>
      <c r="AK206" s="170">
        <f t="shared" si="104"/>
        <v>0</v>
      </c>
      <c r="AL206" s="167">
        <f t="shared" si="105"/>
        <v>0</v>
      </c>
      <c r="AM206" s="166">
        <f t="shared" si="88"/>
        <v>0</v>
      </c>
      <c r="AN206" s="168">
        <f t="shared" si="89"/>
        <v>0</v>
      </c>
      <c r="AO206" s="169">
        <f t="shared" si="106"/>
        <v>0</v>
      </c>
      <c r="AP206" s="170">
        <f t="shared" si="107"/>
        <v>0</v>
      </c>
      <c r="AQ206" s="166">
        <f t="shared" si="108"/>
        <v>0</v>
      </c>
      <c r="AS206" s="56">
        <f>'Ship Data Metric'!E71*0.03280839895</f>
        <v>0</v>
      </c>
      <c r="AT206" s="75"/>
      <c r="AU206" s="168">
        <f t="shared" si="109"/>
        <v>0</v>
      </c>
      <c r="AV206" s="169">
        <f t="shared" si="110"/>
        <v>0</v>
      </c>
      <c r="AW206" s="170">
        <f t="shared" si="111"/>
        <v>0</v>
      </c>
      <c r="AX206" s="167">
        <f t="shared" si="112"/>
        <v>0</v>
      </c>
      <c r="AY206" s="166">
        <f t="shared" si="113"/>
        <v>0</v>
      </c>
    </row>
    <row r="207" ht="15.75" customHeight="1">
      <c r="AA207" s="75" t="s">
        <v>47</v>
      </c>
      <c r="AB207" s="158" t="s">
        <v>24</v>
      </c>
      <c r="AC207" s="56">
        <f>IF('Ship Data Imperial'!E72&gt;0,'Ship Data Imperial'!E72,AS207)</f>
        <v>0</v>
      </c>
      <c r="AD207" s="168">
        <f t="shared" si="114"/>
        <v>0</v>
      </c>
      <c r="AE207" s="169">
        <f t="shared" si="115"/>
        <v>0</v>
      </c>
      <c r="AF207" s="170">
        <f t="shared" si="116"/>
        <v>0</v>
      </c>
      <c r="AG207" s="166">
        <f t="shared" si="100"/>
        <v>0</v>
      </c>
      <c r="AH207" s="167">
        <f t="shared" si="101"/>
        <v>0</v>
      </c>
      <c r="AI207" s="168">
        <f t="shared" si="102"/>
        <v>0</v>
      </c>
      <c r="AJ207" s="169">
        <f t="shared" si="103"/>
        <v>0</v>
      </c>
      <c r="AK207" s="170">
        <f t="shared" si="104"/>
        <v>0</v>
      </c>
      <c r="AL207" s="167">
        <f t="shared" si="105"/>
        <v>0</v>
      </c>
      <c r="AM207" s="166">
        <f t="shared" si="88"/>
        <v>0</v>
      </c>
      <c r="AN207" s="168">
        <f t="shared" si="89"/>
        <v>0</v>
      </c>
      <c r="AO207" s="169">
        <f t="shared" si="106"/>
        <v>0</v>
      </c>
      <c r="AP207" s="170">
        <f t="shared" si="107"/>
        <v>0</v>
      </c>
      <c r="AQ207" s="166">
        <f t="shared" si="108"/>
        <v>0</v>
      </c>
      <c r="AS207" s="56">
        <f>'Ship Data Metric'!E72*0.03280839895</f>
        <v>0</v>
      </c>
      <c r="AT207" s="75" t="s">
        <v>47</v>
      </c>
      <c r="AU207" s="168">
        <f t="shared" si="109"/>
        <v>0</v>
      </c>
      <c r="AV207" s="169">
        <f t="shared" si="110"/>
        <v>0</v>
      </c>
      <c r="AW207" s="170">
        <f t="shared" si="111"/>
        <v>0</v>
      </c>
      <c r="AX207" s="167">
        <f t="shared" si="112"/>
        <v>0</v>
      </c>
      <c r="AY207" s="166">
        <f t="shared" si="113"/>
        <v>0</v>
      </c>
    </row>
    <row r="208" ht="15.75" customHeight="1">
      <c r="AA208" s="75"/>
      <c r="AB208" s="158" t="s">
        <v>25</v>
      </c>
      <c r="AC208" s="56">
        <f>IF('Ship Data Imperial'!E73&gt;0,'Ship Data Imperial'!E73,AS208)</f>
        <v>0</v>
      </c>
      <c r="AD208" s="168">
        <f t="shared" si="114"/>
        <v>0</v>
      </c>
      <c r="AE208" s="169">
        <f t="shared" si="115"/>
        <v>0</v>
      </c>
      <c r="AF208" s="170">
        <f t="shared" si="116"/>
        <v>0</v>
      </c>
      <c r="AG208" s="166">
        <f t="shared" si="100"/>
        <v>0</v>
      </c>
      <c r="AH208" s="167">
        <f t="shared" si="101"/>
        <v>0</v>
      </c>
      <c r="AI208" s="168">
        <f t="shared" si="102"/>
        <v>0</v>
      </c>
      <c r="AJ208" s="169">
        <f t="shared" si="103"/>
        <v>0</v>
      </c>
      <c r="AK208" s="170">
        <f t="shared" si="104"/>
        <v>0</v>
      </c>
      <c r="AL208" s="167">
        <f t="shared" si="105"/>
        <v>0</v>
      </c>
      <c r="AM208" s="166">
        <f t="shared" si="88"/>
        <v>0</v>
      </c>
      <c r="AN208" s="168">
        <f t="shared" si="89"/>
        <v>0</v>
      </c>
      <c r="AO208" s="169">
        <f t="shared" si="106"/>
        <v>0</v>
      </c>
      <c r="AP208" s="170">
        <f t="shared" si="107"/>
        <v>0</v>
      </c>
      <c r="AQ208" s="166">
        <f t="shared" si="108"/>
        <v>0</v>
      </c>
      <c r="AS208" s="56">
        <f>'Ship Data Metric'!E73*0.03280839895</f>
        <v>0</v>
      </c>
      <c r="AT208" s="75"/>
      <c r="AU208" s="168">
        <f t="shared" si="109"/>
        <v>0</v>
      </c>
      <c r="AV208" s="169">
        <f t="shared" si="110"/>
        <v>0</v>
      </c>
      <c r="AW208" s="170">
        <f t="shared" si="111"/>
        <v>0</v>
      </c>
      <c r="AX208" s="167">
        <f t="shared" si="112"/>
        <v>0</v>
      </c>
      <c r="AY208" s="166">
        <f t="shared" si="113"/>
        <v>0</v>
      </c>
    </row>
    <row r="209" ht="15.75" customHeight="1">
      <c r="AA209" s="75"/>
      <c r="AB209" s="158" t="s">
        <v>40</v>
      </c>
      <c r="AC209" s="56">
        <f>IF('Ship Data Imperial'!E74&gt;0,'Ship Data Imperial'!E74,AS209)</f>
        <v>0</v>
      </c>
      <c r="AD209" s="168">
        <f t="shared" si="114"/>
        <v>0</v>
      </c>
      <c r="AE209" s="169">
        <f t="shared" si="115"/>
        <v>0</v>
      </c>
      <c r="AF209" s="170">
        <f t="shared" si="116"/>
        <v>0</v>
      </c>
      <c r="AG209" s="166">
        <f t="shared" si="100"/>
        <v>0</v>
      </c>
      <c r="AH209" s="167">
        <f t="shared" si="101"/>
        <v>0</v>
      </c>
      <c r="AI209" s="168">
        <f t="shared" si="102"/>
        <v>0</v>
      </c>
      <c r="AJ209" s="169">
        <f t="shared" si="103"/>
        <v>0</v>
      </c>
      <c r="AK209" s="170">
        <f t="shared" si="104"/>
        <v>0</v>
      </c>
      <c r="AL209" s="167">
        <f t="shared" si="105"/>
        <v>0</v>
      </c>
      <c r="AM209" s="166">
        <f t="shared" si="88"/>
        <v>0</v>
      </c>
      <c r="AN209" s="168">
        <f t="shared" si="89"/>
        <v>0</v>
      </c>
      <c r="AO209" s="169">
        <f t="shared" si="106"/>
        <v>0</v>
      </c>
      <c r="AP209" s="170">
        <f t="shared" si="107"/>
        <v>0</v>
      </c>
      <c r="AQ209" s="166">
        <f t="shared" si="108"/>
        <v>0</v>
      </c>
      <c r="AS209" s="56">
        <f>'Ship Data Metric'!E74*0.03280839895</f>
        <v>0</v>
      </c>
      <c r="AT209" s="75"/>
      <c r="AU209" s="168">
        <f t="shared" si="109"/>
        <v>0</v>
      </c>
      <c r="AV209" s="169">
        <f t="shared" si="110"/>
        <v>0</v>
      </c>
      <c r="AW209" s="170">
        <f t="shared" si="111"/>
        <v>0</v>
      </c>
      <c r="AX209" s="167">
        <f t="shared" si="112"/>
        <v>0</v>
      </c>
      <c r="AY209" s="166">
        <f t="shared" si="113"/>
        <v>0</v>
      </c>
    </row>
    <row r="210" ht="15.75" customHeight="1">
      <c r="AA210" s="75"/>
      <c r="AB210" s="158" t="s">
        <v>41</v>
      </c>
      <c r="AC210" s="56">
        <f>IF('Ship Data Imperial'!E75&gt;0,'Ship Data Imperial'!E75,AS210)</f>
        <v>0</v>
      </c>
      <c r="AD210" s="168">
        <f t="shared" si="114"/>
        <v>0</v>
      </c>
      <c r="AE210" s="169">
        <f t="shared" si="115"/>
        <v>0</v>
      </c>
      <c r="AF210" s="170">
        <f t="shared" si="116"/>
        <v>0</v>
      </c>
      <c r="AG210" s="166">
        <f t="shared" si="100"/>
        <v>0</v>
      </c>
      <c r="AH210" s="167">
        <f t="shared" si="101"/>
        <v>0</v>
      </c>
      <c r="AI210" s="168">
        <f t="shared" si="102"/>
        <v>0</v>
      </c>
      <c r="AJ210" s="169">
        <f t="shared" si="103"/>
        <v>0</v>
      </c>
      <c r="AK210" s="170">
        <f t="shared" si="104"/>
        <v>0</v>
      </c>
      <c r="AL210" s="167">
        <f t="shared" si="105"/>
        <v>0</v>
      </c>
      <c r="AM210" s="166">
        <f t="shared" si="88"/>
        <v>0</v>
      </c>
      <c r="AN210" s="168">
        <f t="shared" si="89"/>
        <v>0</v>
      </c>
      <c r="AO210" s="169">
        <f t="shared" si="106"/>
        <v>0</v>
      </c>
      <c r="AP210" s="170">
        <f t="shared" si="107"/>
        <v>0</v>
      </c>
      <c r="AQ210" s="166">
        <f t="shared" si="108"/>
        <v>0</v>
      </c>
      <c r="AS210" s="56">
        <f>'Ship Data Metric'!E75*0.03280839895</f>
        <v>0</v>
      </c>
      <c r="AT210" s="75"/>
      <c r="AU210" s="168">
        <f t="shared" si="109"/>
        <v>0</v>
      </c>
      <c r="AV210" s="169">
        <f t="shared" si="110"/>
        <v>0</v>
      </c>
      <c r="AW210" s="170">
        <f t="shared" si="111"/>
        <v>0</v>
      </c>
      <c r="AX210" s="167">
        <f t="shared" si="112"/>
        <v>0</v>
      </c>
      <c r="AY210" s="166">
        <f t="shared" si="113"/>
        <v>0</v>
      </c>
    </row>
    <row r="211" ht="15.75" customHeight="1">
      <c r="AA211" s="75"/>
      <c r="AB211" s="158" t="s">
        <v>42</v>
      </c>
      <c r="AC211" s="56">
        <f>IF('Ship Data Imperial'!E76&gt;0,'Ship Data Imperial'!E76,AS211)</f>
        <v>0</v>
      </c>
      <c r="AD211" s="168">
        <f t="shared" si="114"/>
        <v>0</v>
      </c>
      <c r="AE211" s="169">
        <f t="shared" si="115"/>
        <v>0</v>
      </c>
      <c r="AF211" s="170">
        <f t="shared" si="116"/>
        <v>0</v>
      </c>
      <c r="AG211" s="166">
        <f t="shared" si="100"/>
        <v>0</v>
      </c>
      <c r="AH211" s="167">
        <f t="shared" si="101"/>
        <v>0</v>
      </c>
      <c r="AI211" s="168">
        <f t="shared" si="102"/>
        <v>0</v>
      </c>
      <c r="AJ211" s="169">
        <f t="shared" si="103"/>
        <v>0</v>
      </c>
      <c r="AK211" s="170">
        <f t="shared" si="104"/>
        <v>0</v>
      </c>
      <c r="AL211" s="167">
        <f t="shared" si="105"/>
        <v>0</v>
      </c>
      <c r="AM211" s="166">
        <f t="shared" si="88"/>
        <v>0</v>
      </c>
      <c r="AN211" s="168">
        <f t="shared" si="89"/>
        <v>0</v>
      </c>
      <c r="AO211" s="169">
        <f t="shared" si="106"/>
        <v>0</v>
      </c>
      <c r="AP211" s="170">
        <f t="shared" si="107"/>
        <v>0</v>
      </c>
      <c r="AQ211" s="166">
        <f t="shared" si="108"/>
        <v>0</v>
      </c>
      <c r="AS211" s="56">
        <f>'Ship Data Metric'!E76*0.03280839895</f>
        <v>0</v>
      </c>
      <c r="AT211" s="75"/>
      <c r="AU211" s="168">
        <f t="shared" si="109"/>
        <v>0</v>
      </c>
      <c r="AV211" s="169">
        <f t="shared" si="110"/>
        <v>0</v>
      </c>
      <c r="AW211" s="170">
        <f t="shared" si="111"/>
        <v>0</v>
      </c>
      <c r="AX211" s="167">
        <f t="shared" si="112"/>
        <v>0</v>
      </c>
      <c r="AY211" s="166">
        <f t="shared" si="113"/>
        <v>0</v>
      </c>
    </row>
    <row r="212" ht="15.75" customHeight="1">
      <c r="AA212" s="75"/>
      <c r="AB212" s="158" t="s">
        <v>43</v>
      </c>
      <c r="AC212" s="56">
        <f>IF('Ship Data Imperial'!E77&gt;0,'Ship Data Imperial'!E77,AS212)</f>
        <v>0</v>
      </c>
      <c r="AD212" s="168">
        <f t="shared" si="114"/>
        <v>0</v>
      </c>
      <c r="AE212" s="169">
        <f t="shared" si="115"/>
        <v>0</v>
      </c>
      <c r="AF212" s="170">
        <f t="shared" si="116"/>
        <v>0</v>
      </c>
      <c r="AG212" s="166">
        <f t="shared" si="100"/>
        <v>0</v>
      </c>
      <c r="AH212" s="167">
        <f t="shared" si="101"/>
        <v>0</v>
      </c>
      <c r="AI212" s="168">
        <f t="shared" si="102"/>
        <v>0</v>
      </c>
      <c r="AJ212" s="169">
        <f t="shared" si="103"/>
        <v>0</v>
      </c>
      <c r="AK212" s="170">
        <f t="shared" si="104"/>
        <v>0</v>
      </c>
      <c r="AL212" s="167">
        <f t="shared" si="105"/>
        <v>0</v>
      </c>
      <c r="AM212" s="166">
        <f t="shared" si="88"/>
        <v>0</v>
      </c>
      <c r="AN212" s="168">
        <f t="shared" si="89"/>
        <v>0</v>
      </c>
      <c r="AO212" s="169">
        <f t="shared" si="106"/>
        <v>0</v>
      </c>
      <c r="AP212" s="170">
        <f t="shared" si="107"/>
        <v>0</v>
      </c>
      <c r="AQ212" s="166">
        <f t="shared" si="108"/>
        <v>0</v>
      </c>
      <c r="AS212" s="56">
        <f>'Ship Data Metric'!E77*0.03280839895</f>
        <v>0</v>
      </c>
      <c r="AT212" s="75"/>
      <c r="AU212" s="168">
        <f t="shared" si="109"/>
        <v>0</v>
      </c>
      <c r="AV212" s="169">
        <f t="shared" si="110"/>
        <v>0</v>
      </c>
      <c r="AW212" s="170">
        <f t="shared" si="111"/>
        <v>0</v>
      </c>
      <c r="AX212" s="167">
        <f t="shared" si="112"/>
        <v>0</v>
      </c>
      <c r="AY212" s="166">
        <f t="shared" si="113"/>
        <v>0</v>
      </c>
    </row>
    <row r="213" ht="15.75" customHeight="1">
      <c r="AA213" s="75"/>
      <c r="AB213" s="158" t="s">
        <v>44</v>
      </c>
      <c r="AC213" s="56">
        <f>IF('Ship Data Imperial'!E78&gt;0,'Ship Data Imperial'!E78,AS213)</f>
        <v>0</v>
      </c>
      <c r="AD213" s="168">
        <f t="shared" si="114"/>
        <v>0</v>
      </c>
      <c r="AE213" s="169">
        <f t="shared" si="115"/>
        <v>0</v>
      </c>
      <c r="AF213" s="170">
        <f t="shared" si="116"/>
        <v>0</v>
      </c>
      <c r="AG213" s="166">
        <f t="shared" si="100"/>
        <v>0</v>
      </c>
      <c r="AH213" s="167">
        <f t="shared" si="101"/>
        <v>0</v>
      </c>
      <c r="AI213" s="168">
        <f t="shared" si="102"/>
        <v>0</v>
      </c>
      <c r="AJ213" s="169">
        <f t="shared" si="103"/>
        <v>0</v>
      </c>
      <c r="AK213" s="170">
        <f t="shared" si="104"/>
        <v>0</v>
      </c>
      <c r="AL213" s="167">
        <f t="shared" si="105"/>
        <v>0</v>
      </c>
      <c r="AM213" s="166">
        <f t="shared" si="88"/>
        <v>0</v>
      </c>
      <c r="AN213" s="168">
        <f t="shared" si="89"/>
        <v>0</v>
      </c>
      <c r="AO213" s="169">
        <f t="shared" si="106"/>
        <v>0</v>
      </c>
      <c r="AP213" s="170">
        <f t="shared" si="107"/>
        <v>0</v>
      </c>
      <c r="AQ213" s="166">
        <f t="shared" si="108"/>
        <v>0</v>
      </c>
      <c r="AS213" s="56">
        <f>'Ship Data Metric'!E78*0.03280839895</f>
        <v>0</v>
      </c>
      <c r="AT213" s="75"/>
      <c r="AU213" s="168">
        <f t="shared" si="109"/>
        <v>0</v>
      </c>
      <c r="AV213" s="169">
        <f t="shared" si="110"/>
        <v>0</v>
      </c>
      <c r="AW213" s="170">
        <f t="shared" si="111"/>
        <v>0</v>
      </c>
      <c r="AX213" s="167">
        <f t="shared" si="112"/>
        <v>0</v>
      </c>
      <c r="AY213" s="166">
        <f t="shared" si="113"/>
        <v>0</v>
      </c>
    </row>
    <row r="214" ht="15.75" customHeight="1">
      <c r="AA214" s="75"/>
      <c r="AB214" s="158" t="s">
        <v>45</v>
      </c>
      <c r="AC214" s="56">
        <f>IF('Ship Data Imperial'!E79&gt;0,'Ship Data Imperial'!E79,AS214)</f>
        <v>0</v>
      </c>
      <c r="AD214" s="168">
        <f t="shared" si="114"/>
        <v>0</v>
      </c>
      <c r="AE214" s="169">
        <f t="shared" si="115"/>
        <v>0</v>
      </c>
      <c r="AF214" s="170">
        <f t="shared" si="116"/>
        <v>0</v>
      </c>
      <c r="AG214" s="166">
        <f t="shared" si="100"/>
        <v>0</v>
      </c>
      <c r="AH214" s="167">
        <f t="shared" si="101"/>
        <v>0</v>
      </c>
      <c r="AI214" s="168">
        <f t="shared" si="102"/>
        <v>0</v>
      </c>
      <c r="AJ214" s="169">
        <f t="shared" si="103"/>
        <v>0</v>
      </c>
      <c r="AK214" s="170">
        <f t="shared" si="104"/>
        <v>0</v>
      </c>
      <c r="AL214" s="167">
        <f t="shared" si="105"/>
        <v>0</v>
      </c>
      <c r="AM214" s="166">
        <f t="shared" si="88"/>
        <v>0</v>
      </c>
      <c r="AN214" s="168">
        <f t="shared" si="89"/>
        <v>0</v>
      </c>
      <c r="AO214" s="169">
        <f t="shared" si="106"/>
        <v>0</v>
      </c>
      <c r="AP214" s="170">
        <f t="shared" si="107"/>
        <v>0</v>
      </c>
      <c r="AQ214" s="166">
        <f t="shared" si="108"/>
        <v>0</v>
      </c>
      <c r="AS214" s="56">
        <f>'Ship Data Metric'!E79*0.03280839895</f>
        <v>0</v>
      </c>
      <c r="AT214" s="75"/>
      <c r="AU214" s="168">
        <f t="shared" si="109"/>
        <v>0</v>
      </c>
      <c r="AV214" s="169">
        <f t="shared" si="110"/>
        <v>0</v>
      </c>
      <c r="AW214" s="170">
        <f t="shared" si="111"/>
        <v>0</v>
      </c>
      <c r="AX214" s="167">
        <f t="shared" si="112"/>
        <v>0</v>
      </c>
      <c r="AY214" s="166">
        <f t="shared" si="113"/>
        <v>0</v>
      </c>
    </row>
    <row r="215" ht="15.75" customHeight="1">
      <c r="AA215" s="75"/>
      <c r="AB215" s="158" t="s">
        <v>46</v>
      </c>
      <c r="AC215" s="56">
        <f>IF('Ship Data Imperial'!E80&gt;0,'Ship Data Imperial'!E80,AS215)</f>
        <v>0</v>
      </c>
      <c r="AD215" s="168">
        <f t="shared" si="114"/>
        <v>0</v>
      </c>
      <c r="AE215" s="169">
        <f t="shared" si="115"/>
        <v>0</v>
      </c>
      <c r="AF215" s="170">
        <f t="shared" si="116"/>
        <v>0</v>
      </c>
      <c r="AG215" s="166">
        <f t="shared" si="100"/>
        <v>0</v>
      </c>
      <c r="AH215" s="167">
        <f t="shared" si="101"/>
        <v>0</v>
      </c>
      <c r="AI215" s="168">
        <f t="shared" si="102"/>
        <v>0</v>
      </c>
      <c r="AJ215" s="169">
        <f t="shared" si="103"/>
        <v>0</v>
      </c>
      <c r="AK215" s="170">
        <f t="shared" si="104"/>
        <v>0</v>
      </c>
      <c r="AL215" s="167">
        <f t="shared" si="105"/>
        <v>0</v>
      </c>
      <c r="AM215" s="166">
        <f t="shared" si="88"/>
        <v>0</v>
      </c>
      <c r="AN215" s="168">
        <f t="shared" si="89"/>
        <v>0</v>
      </c>
      <c r="AO215" s="169">
        <f t="shared" si="106"/>
        <v>0</v>
      </c>
      <c r="AP215" s="170">
        <f t="shared" si="107"/>
        <v>0</v>
      </c>
      <c r="AQ215" s="166">
        <f t="shared" si="108"/>
        <v>0</v>
      </c>
      <c r="AS215" s="56">
        <f>'Ship Data Metric'!E80*0.03280839895</f>
        <v>0</v>
      </c>
      <c r="AT215" s="75"/>
      <c r="AU215" s="168">
        <f t="shared" si="109"/>
        <v>0</v>
      </c>
      <c r="AV215" s="169">
        <f t="shared" si="110"/>
        <v>0</v>
      </c>
      <c r="AW215" s="170">
        <f t="shared" si="111"/>
        <v>0</v>
      </c>
      <c r="AX215" s="167">
        <f t="shared" si="112"/>
        <v>0</v>
      </c>
      <c r="AY215" s="166">
        <f t="shared" si="113"/>
        <v>0</v>
      </c>
    </row>
    <row r="216" ht="15.75" customHeight="1">
      <c r="AA216" s="75" t="s">
        <v>48</v>
      </c>
      <c r="AB216" s="76" t="s">
        <v>24</v>
      </c>
      <c r="AC216" s="56">
        <f>IF('Ship Data Imperial'!E81&gt;0,'Ship Data Imperial'!E81,AS216)</f>
        <v>0</v>
      </c>
      <c r="AD216" s="168">
        <f t="shared" si="114"/>
        <v>0</v>
      </c>
      <c r="AE216" s="169">
        <f t="shared" si="115"/>
        <v>0</v>
      </c>
      <c r="AF216" s="170">
        <f t="shared" si="116"/>
        <v>0</v>
      </c>
      <c r="AG216" s="166">
        <f t="shared" si="100"/>
        <v>0</v>
      </c>
      <c r="AH216" s="167">
        <f t="shared" si="101"/>
        <v>0</v>
      </c>
      <c r="AI216" s="168">
        <f t="shared" si="102"/>
        <v>0</v>
      </c>
      <c r="AJ216" s="169">
        <f t="shared" si="103"/>
        <v>0</v>
      </c>
      <c r="AK216" s="170">
        <f t="shared" si="104"/>
        <v>0</v>
      </c>
      <c r="AL216" s="167">
        <f t="shared" si="105"/>
        <v>0</v>
      </c>
      <c r="AM216" s="166">
        <f t="shared" ref="AM216:AM271" si="117">IF(AC216&gt;0,$H$18*0.6,0)</f>
        <v>0</v>
      </c>
      <c r="AN216" s="168">
        <f t="shared" ref="AN216:AN271" si="118">IF(AC216&gt;0,$H$18*0.66,0)</f>
        <v>0</v>
      </c>
      <c r="AO216" s="169">
        <f t="shared" si="106"/>
        <v>0</v>
      </c>
      <c r="AP216" s="170">
        <f t="shared" si="107"/>
        <v>0</v>
      </c>
      <c r="AQ216" s="166">
        <f t="shared" si="108"/>
        <v>0</v>
      </c>
      <c r="AS216" s="56">
        <f>'Ship Data Metric'!E81*0.03280839895</f>
        <v>0</v>
      </c>
      <c r="AT216" s="75" t="s">
        <v>48</v>
      </c>
      <c r="AU216" s="168">
        <f t="shared" si="109"/>
        <v>0</v>
      </c>
      <c r="AV216" s="169">
        <f t="shared" si="110"/>
        <v>0</v>
      </c>
      <c r="AW216" s="170">
        <f t="shared" si="111"/>
        <v>0</v>
      </c>
      <c r="AX216" s="167">
        <f t="shared" si="112"/>
        <v>0</v>
      </c>
      <c r="AY216" s="166">
        <f t="shared" si="113"/>
        <v>0</v>
      </c>
    </row>
    <row r="217" ht="15.75" customHeight="1">
      <c r="AA217" s="75"/>
      <c r="AB217" s="76" t="s">
        <v>25</v>
      </c>
      <c r="AC217" s="56">
        <f>IF('Ship Data Imperial'!E82&gt;0,'Ship Data Imperial'!E82,AS217)</f>
        <v>0</v>
      </c>
      <c r="AD217" s="168">
        <f t="shared" si="114"/>
        <v>0</v>
      </c>
      <c r="AE217" s="169">
        <f t="shared" si="115"/>
        <v>0</v>
      </c>
      <c r="AF217" s="170">
        <f t="shared" si="116"/>
        <v>0</v>
      </c>
      <c r="AG217" s="166">
        <f t="shared" si="100"/>
        <v>0</v>
      </c>
      <c r="AH217" s="167">
        <f t="shared" si="101"/>
        <v>0</v>
      </c>
      <c r="AI217" s="168">
        <f t="shared" si="102"/>
        <v>0</v>
      </c>
      <c r="AJ217" s="169">
        <f t="shared" si="103"/>
        <v>0</v>
      </c>
      <c r="AK217" s="170">
        <f t="shared" si="104"/>
        <v>0</v>
      </c>
      <c r="AL217" s="167">
        <f t="shared" si="105"/>
        <v>0</v>
      </c>
      <c r="AM217" s="166">
        <f t="shared" si="117"/>
        <v>0</v>
      </c>
      <c r="AN217" s="168">
        <f t="shared" si="118"/>
        <v>0</v>
      </c>
      <c r="AO217" s="169">
        <f t="shared" si="106"/>
        <v>0</v>
      </c>
      <c r="AP217" s="170">
        <f t="shared" si="107"/>
        <v>0</v>
      </c>
      <c r="AQ217" s="166">
        <f t="shared" si="108"/>
        <v>0</v>
      </c>
      <c r="AS217" s="56">
        <f>'Ship Data Metric'!E82*0.03280839895</f>
        <v>0</v>
      </c>
      <c r="AT217" s="75"/>
      <c r="AU217" s="168">
        <f t="shared" si="109"/>
        <v>0</v>
      </c>
      <c r="AV217" s="169">
        <f t="shared" si="110"/>
        <v>0</v>
      </c>
      <c r="AW217" s="170">
        <f t="shared" si="111"/>
        <v>0</v>
      </c>
      <c r="AX217" s="167">
        <f t="shared" si="112"/>
        <v>0</v>
      </c>
      <c r="AY217" s="166">
        <f t="shared" si="113"/>
        <v>0</v>
      </c>
    </row>
    <row r="218" ht="15.75" customHeight="1">
      <c r="AA218" s="75"/>
      <c r="AB218" s="76" t="s">
        <v>26</v>
      </c>
      <c r="AC218" s="56">
        <f>IF('Ship Data Imperial'!E83&gt;0,'Ship Data Imperial'!E83,AS218)</f>
        <v>0</v>
      </c>
      <c r="AD218" s="168">
        <f t="shared" si="114"/>
        <v>0</v>
      </c>
      <c r="AE218" s="169">
        <f t="shared" si="115"/>
        <v>0</v>
      </c>
      <c r="AF218" s="170">
        <f t="shared" si="116"/>
        <v>0</v>
      </c>
      <c r="AG218" s="166">
        <f t="shared" si="100"/>
        <v>0</v>
      </c>
      <c r="AH218" s="167">
        <f t="shared" si="101"/>
        <v>0</v>
      </c>
      <c r="AI218" s="168">
        <f t="shared" si="102"/>
        <v>0</v>
      </c>
      <c r="AJ218" s="169">
        <f t="shared" si="103"/>
        <v>0</v>
      </c>
      <c r="AK218" s="170">
        <f t="shared" si="104"/>
        <v>0</v>
      </c>
      <c r="AL218" s="167">
        <f t="shared" si="105"/>
        <v>0</v>
      </c>
      <c r="AM218" s="166">
        <f t="shared" si="117"/>
        <v>0</v>
      </c>
      <c r="AN218" s="168">
        <f t="shared" si="118"/>
        <v>0</v>
      </c>
      <c r="AO218" s="169">
        <f t="shared" si="106"/>
        <v>0</v>
      </c>
      <c r="AP218" s="170">
        <f t="shared" si="107"/>
        <v>0</v>
      </c>
      <c r="AQ218" s="166">
        <f t="shared" si="108"/>
        <v>0</v>
      </c>
      <c r="AS218" s="56">
        <f>'Ship Data Metric'!E83*0.03280839895</f>
        <v>0</v>
      </c>
      <c r="AT218" s="75"/>
      <c r="AU218" s="168">
        <f t="shared" si="109"/>
        <v>0</v>
      </c>
      <c r="AV218" s="169">
        <f t="shared" si="110"/>
        <v>0</v>
      </c>
      <c r="AW218" s="170">
        <f t="shared" si="111"/>
        <v>0</v>
      </c>
      <c r="AX218" s="167">
        <f t="shared" si="112"/>
        <v>0</v>
      </c>
      <c r="AY218" s="166">
        <f t="shared" si="113"/>
        <v>0</v>
      </c>
    </row>
    <row r="219" ht="15.75" customHeight="1">
      <c r="AA219" s="75"/>
      <c r="AB219" s="76" t="s">
        <v>27</v>
      </c>
      <c r="AC219" s="56">
        <f>IF('Ship Data Imperial'!E84&gt;0,'Ship Data Imperial'!E84,AS219)</f>
        <v>0</v>
      </c>
      <c r="AD219" s="168">
        <f t="shared" si="114"/>
        <v>0</v>
      </c>
      <c r="AE219" s="169">
        <f t="shared" si="115"/>
        <v>0</v>
      </c>
      <c r="AF219" s="170">
        <f t="shared" si="116"/>
        <v>0</v>
      </c>
      <c r="AG219" s="166">
        <f t="shared" si="100"/>
        <v>0</v>
      </c>
      <c r="AH219" s="167">
        <f t="shared" si="101"/>
        <v>0</v>
      </c>
      <c r="AI219" s="168">
        <f t="shared" si="102"/>
        <v>0</v>
      </c>
      <c r="AJ219" s="169">
        <f t="shared" si="103"/>
        <v>0</v>
      </c>
      <c r="AK219" s="170">
        <f t="shared" si="104"/>
        <v>0</v>
      </c>
      <c r="AL219" s="167">
        <f t="shared" si="105"/>
        <v>0</v>
      </c>
      <c r="AM219" s="166">
        <f t="shared" si="117"/>
        <v>0</v>
      </c>
      <c r="AN219" s="168">
        <f t="shared" si="118"/>
        <v>0</v>
      </c>
      <c r="AO219" s="169">
        <f t="shared" si="106"/>
        <v>0</v>
      </c>
      <c r="AP219" s="170">
        <f t="shared" si="107"/>
        <v>0</v>
      </c>
      <c r="AQ219" s="166">
        <f t="shared" si="108"/>
        <v>0</v>
      </c>
      <c r="AS219" s="56">
        <f>'Ship Data Metric'!E84*0.03280839895</f>
        <v>0</v>
      </c>
      <c r="AT219" s="75"/>
      <c r="AU219" s="168">
        <f t="shared" si="109"/>
        <v>0</v>
      </c>
      <c r="AV219" s="169">
        <f t="shared" si="110"/>
        <v>0</v>
      </c>
      <c r="AW219" s="170">
        <f t="shared" si="111"/>
        <v>0</v>
      </c>
      <c r="AX219" s="167">
        <f t="shared" si="112"/>
        <v>0</v>
      </c>
      <c r="AY219" s="166">
        <f t="shared" si="113"/>
        <v>0</v>
      </c>
    </row>
    <row r="220" ht="15.75" customHeight="1">
      <c r="AA220" s="75"/>
      <c r="AB220" s="76" t="s">
        <v>28</v>
      </c>
      <c r="AC220" s="56">
        <f>IF('Ship Data Imperial'!E85&gt;0,'Ship Data Imperial'!E85,AS220)</f>
        <v>0</v>
      </c>
      <c r="AD220" s="168">
        <f t="shared" si="114"/>
        <v>0</v>
      </c>
      <c r="AE220" s="169">
        <f t="shared" si="115"/>
        <v>0</v>
      </c>
      <c r="AF220" s="170">
        <f t="shared" si="116"/>
        <v>0</v>
      </c>
      <c r="AG220" s="166">
        <f t="shared" si="100"/>
        <v>0</v>
      </c>
      <c r="AH220" s="167">
        <f t="shared" si="101"/>
        <v>0</v>
      </c>
      <c r="AI220" s="168">
        <f t="shared" si="102"/>
        <v>0</v>
      </c>
      <c r="AJ220" s="169">
        <f t="shared" si="103"/>
        <v>0</v>
      </c>
      <c r="AK220" s="170">
        <f t="shared" si="104"/>
        <v>0</v>
      </c>
      <c r="AL220" s="167">
        <f t="shared" si="105"/>
        <v>0</v>
      </c>
      <c r="AM220" s="166">
        <f t="shared" si="117"/>
        <v>0</v>
      </c>
      <c r="AN220" s="168">
        <f t="shared" si="118"/>
        <v>0</v>
      </c>
      <c r="AO220" s="169">
        <f t="shared" si="106"/>
        <v>0</v>
      </c>
      <c r="AP220" s="170">
        <f t="shared" si="107"/>
        <v>0</v>
      </c>
      <c r="AQ220" s="166">
        <f t="shared" si="108"/>
        <v>0</v>
      </c>
      <c r="AS220" s="56">
        <f>'Ship Data Metric'!E85*0.03280839895</f>
        <v>0</v>
      </c>
      <c r="AT220" s="75"/>
      <c r="AU220" s="168">
        <f t="shared" si="109"/>
        <v>0</v>
      </c>
      <c r="AV220" s="169">
        <f t="shared" si="110"/>
        <v>0</v>
      </c>
      <c r="AW220" s="170">
        <f t="shared" si="111"/>
        <v>0</v>
      </c>
      <c r="AX220" s="167">
        <f t="shared" si="112"/>
        <v>0</v>
      </c>
      <c r="AY220" s="166">
        <f t="shared" si="113"/>
        <v>0</v>
      </c>
    </row>
    <row r="221" ht="15.75" customHeight="1">
      <c r="AA221" s="75"/>
      <c r="AB221" s="76" t="s">
        <v>29</v>
      </c>
      <c r="AC221" s="56">
        <f>IF('Ship Data Imperial'!E86&gt;0,'Ship Data Imperial'!E86,AS221)</f>
        <v>0</v>
      </c>
      <c r="AD221" s="168">
        <f t="shared" si="114"/>
        <v>0</v>
      </c>
      <c r="AE221" s="169">
        <f t="shared" si="115"/>
        <v>0</v>
      </c>
      <c r="AF221" s="170">
        <f t="shared" si="116"/>
        <v>0</v>
      </c>
      <c r="AG221" s="166">
        <f t="shared" si="100"/>
        <v>0</v>
      </c>
      <c r="AH221" s="167">
        <f t="shared" si="101"/>
        <v>0</v>
      </c>
      <c r="AI221" s="168">
        <f t="shared" si="102"/>
        <v>0</v>
      </c>
      <c r="AJ221" s="169">
        <f t="shared" si="103"/>
        <v>0</v>
      </c>
      <c r="AK221" s="170">
        <f t="shared" si="104"/>
        <v>0</v>
      </c>
      <c r="AL221" s="167">
        <f t="shared" si="105"/>
        <v>0</v>
      </c>
      <c r="AM221" s="166">
        <f t="shared" si="117"/>
        <v>0</v>
      </c>
      <c r="AN221" s="168">
        <f t="shared" si="118"/>
        <v>0</v>
      </c>
      <c r="AO221" s="169">
        <f t="shared" si="106"/>
        <v>0</v>
      </c>
      <c r="AP221" s="170">
        <f t="shared" si="107"/>
        <v>0</v>
      </c>
      <c r="AQ221" s="166">
        <f t="shared" si="108"/>
        <v>0</v>
      </c>
      <c r="AS221" s="56">
        <f>'Ship Data Metric'!E86*0.03280839895</f>
        <v>0</v>
      </c>
      <c r="AT221" s="75"/>
      <c r="AU221" s="168">
        <f t="shared" si="109"/>
        <v>0</v>
      </c>
      <c r="AV221" s="169">
        <f t="shared" si="110"/>
        <v>0</v>
      </c>
      <c r="AW221" s="170">
        <f t="shared" si="111"/>
        <v>0</v>
      </c>
      <c r="AX221" s="167">
        <f t="shared" si="112"/>
        <v>0</v>
      </c>
      <c r="AY221" s="166">
        <f t="shared" si="113"/>
        <v>0</v>
      </c>
    </row>
    <row r="222" ht="15.75" customHeight="1">
      <c r="AA222" s="75">
        <v>1773.0</v>
      </c>
      <c r="AB222" s="76" t="s">
        <v>24</v>
      </c>
      <c r="AC222" s="56">
        <f>IF('Ship Data Imperial'!E87&gt;0,'Ship Data Imperial'!E87,AS222)</f>
        <v>0</v>
      </c>
      <c r="AD222" s="168">
        <f t="shared" si="114"/>
        <v>0</v>
      </c>
      <c r="AE222" s="169">
        <f t="shared" si="115"/>
        <v>0</v>
      </c>
      <c r="AF222" s="170">
        <f t="shared" si="116"/>
        <v>0</v>
      </c>
      <c r="AG222" s="166">
        <f t="shared" si="100"/>
        <v>0</v>
      </c>
      <c r="AH222" s="167">
        <f t="shared" si="101"/>
        <v>0</v>
      </c>
      <c r="AI222" s="168">
        <f t="shared" si="102"/>
        <v>0</v>
      </c>
      <c r="AJ222" s="169">
        <f t="shared" si="103"/>
        <v>0</v>
      </c>
      <c r="AK222" s="170">
        <f t="shared" si="104"/>
        <v>0</v>
      </c>
      <c r="AL222" s="167">
        <f t="shared" si="105"/>
        <v>0</v>
      </c>
      <c r="AM222" s="166">
        <f t="shared" si="117"/>
        <v>0</v>
      </c>
      <c r="AN222" s="168">
        <f t="shared" si="118"/>
        <v>0</v>
      </c>
      <c r="AO222" s="169">
        <f t="shared" si="106"/>
        <v>0</v>
      </c>
      <c r="AP222" s="170">
        <f t="shared" si="107"/>
        <v>0</v>
      </c>
      <c r="AQ222" s="166">
        <f t="shared" si="108"/>
        <v>0</v>
      </c>
      <c r="AS222" s="56">
        <f>'Ship Data Metric'!E87*0.03280839895</f>
        <v>0</v>
      </c>
      <c r="AT222" s="75">
        <v>1773.0</v>
      </c>
      <c r="AU222" s="168">
        <f t="shared" si="109"/>
        <v>0</v>
      </c>
      <c r="AV222" s="169">
        <f t="shared" si="110"/>
        <v>0</v>
      </c>
      <c r="AW222" s="170">
        <f t="shared" si="111"/>
        <v>0</v>
      </c>
      <c r="AX222" s="167">
        <f t="shared" si="112"/>
        <v>0</v>
      </c>
      <c r="AY222" s="166">
        <f t="shared" si="113"/>
        <v>0</v>
      </c>
    </row>
    <row r="223" ht="15.75" customHeight="1">
      <c r="AA223" s="75"/>
      <c r="AB223" s="76" t="s">
        <v>25</v>
      </c>
      <c r="AC223" s="56">
        <f>IF('Ship Data Imperial'!E88&gt;0,'Ship Data Imperial'!E88,AS223)</f>
        <v>0</v>
      </c>
      <c r="AD223" s="168">
        <f t="shared" si="114"/>
        <v>0</v>
      </c>
      <c r="AE223" s="169">
        <f t="shared" si="115"/>
        <v>0</v>
      </c>
      <c r="AF223" s="170">
        <f t="shared" si="116"/>
        <v>0</v>
      </c>
      <c r="AG223" s="166">
        <f t="shared" si="100"/>
        <v>0</v>
      </c>
      <c r="AH223" s="167">
        <f t="shared" si="101"/>
        <v>0</v>
      </c>
      <c r="AI223" s="168">
        <f t="shared" si="102"/>
        <v>0</v>
      </c>
      <c r="AJ223" s="169">
        <f t="shared" si="103"/>
        <v>0</v>
      </c>
      <c r="AK223" s="170">
        <f t="shared" si="104"/>
        <v>0</v>
      </c>
      <c r="AL223" s="167">
        <f t="shared" si="105"/>
        <v>0</v>
      </c>
      <c r="AM223" s="166">
        <f t="shared" si="117"/>
        <v>0</v>
      </c>
      <c r="AN223" s="168">
        <f t="shared" si="118"/>
        <v>0</v>
      </c>
      <c r="AO223" s="169">
        <f t="shared" si="106"/>
        <v>0</v>
      </c>
      <c r="AP223" s="170">
        <f t="shared" si="107"/>
        <v>0</v>
      </c>
      <c r="AQ223" s="166">
        <f t="shared" si="108"/>
        <v>0</v>
      </c>
      <c r="AS223" s="56">
        <f>'Ship Data Metric'!E88*0.03280839895</f>
        <v>0</v>
      </c>
      <c r="AT223" s="75"/>
      <c r="AU223" s="168">
        <f t="shared" si="109"/>
        <v>0</v>
      </c>
      <c r="AV223" s="169">
        <f t="shared" si="110"/>
        <v>0</v>
      </c>
      <c r="AW223" s="170">
        <f t="shared" si="111"/>
        <v>0</v>
      </c>
      <c r="AX223" s="167">
        <f t="shared" si="112"/>
        <v>0</v>
      </c>
      <c r="AY223" s="166">
        <f t="shared" si="113"/>
        <v>0</v>
      </c>
    </row>
    <row r="224" ht="15.75" customHeight="1">
      <c r="AA224" s="75"/>
      <c r="AB224" s="76" t="s">
        <v>26</v>
      </c>
      <c r="AC224" s="56">
        <f>IF('Ship Data Imperial'!E89&gt;0,'Ship Data Imperial'!E89,AS224)</f>
        <v>0</v>
      </c>
      <c r="AD224" s="168">
        <f t="shared" si="114"/>
        <v>0</v>
      </c>
      <c r="AE224" s="169">
        <f t="shared" si="115"/>
        <v>0</v>
      </c>
      <c r="AF224" s="170">
        <f t="shared" si="116"/>
        <v>0</v>
      </c>
      <c r="AG224" s="166">
        <f t="shared" si="100"/>
        <v>0</v>
      </c>
      <c r="AH224" s="167">
        <f t="shared" si="101"/>
        <v>0</v>
      </c>
      <c r="AI224" s="168">
        <f t="shared" si="102"/>
        <v>0</v>
      </c>
      <c r="AJ224" s="169">
        <f t="shared" si="103"/>
        <v>0</v>
      </c>
      <c r="AK224" s="170">
        <f t="shared" si="104"/>
        <v>0</v>
      </c>
      <c r="AL224" s="167">
        <f t="shared" si="105"/>
        <v>0</v>
      </c>
      <c r="AM224" s="166">
        <f t="shared" si="117"/>
        <v>0</v>
      </c>
      <c r="AN224" s="168">
        <f t="shared" si="118"/>
        <v>0</v>
      </c>
      <c r="AO224" s="169">
        <f t="shared" si="106"/>
        <v>0</v>
      </c>
      <c r="AP224" s="170">
        <f t="shared" si="107"/>
        <v>0</v>
      </c>
      <c r="AQ224" s="166">
        <f t="shared" si="108"/>
        <v>0</v>
      </c>
      <c r="AS224" s="56">
        <f>'Ship Data Metric'!E89*0.03280839895</f>
        <v>0</v>
      </c>
      <c r="AT224" s="75"/>
      <c r="AU224" s="168">
        <f t="shared" si="109"/>
        <v>0</v>
      </c>
      <c r="AV224" s="169">
        <f t="shared" si="110"/>
        <v>0</v>
      </c>
      <c r="AW224" s="170">
        <f t="shared" si="111"/>
        <v>0</v>
      </c>
      <c r="AX224" s="167">
        <f t="shared" si="112"/>
        <v>0</v>
      </c>
      <c r="AY224" s="166">
        <f t="shared" si="113"/>
        <v>0</v>
      </c>
    </row>
    <row r="225" ht="15.75" customHeight="1">
      <c r="AA225" s="75"/>
      <c r="AB225" s="76" t="s">
        <v>27</v>
      </c>
      <c r="AC225" s="56">
        <f>IF('Ship Data Imperial'!E90&gt;0,'Ship Data Imperial'!E90,AS225)</f>
        <v>0</v>
      </c>
      <c r="AD225" s="168">
        <f t="shared" si="114"/>
        <v>0</v>
      </c>
      <c r="AE225" s="169">
        <f t="shared" si="115"/>
        <v>0</v>
      </c>
      <c r="AF225" s="170">
        <f t="shared" si="116"/>
        <v>0</v>
      </c>
      <c r="AG225" s="166">
        <f t="shared" si="100"/>
        <v>0</v>
      </c>
      <c r="AH225" s="167">
        <f t="shared" si="101"/>
        <v>0</v>
      </c>
      <c r="AI225" s="168">
        <f t="shared" si="102"/>
        <v>0</v>
      </c>
      <c r="AJ225" s="169">
        <f t="shared" si="103"/>
        <v>0</v>
      </c>
      <c r="AK225" s="170">
        <f t="shared" si="104"/>
        <v>0</v>
      </c>
      <c r="AL225" s="167">
        <f t="shared" si="105"/>
        <v>0</v>
      </c>
      <c r="AM225" s="166">
        <f t="shared" si="117"/>
        <v>0</v>
      </c>
      <c r="AN225" s="168">
        <f t="shared" si="118"/>
        <v>0</v>
      </c>
      <c r="AO225" s="169">
        <f t="shared" si="106"/>
        <v>0</v>
      </c>
      <c r="AP225" s="170">
        <f t="shared" si="107"/>
        <v>0</v>
      </c>
      <c r="AQ225" s="166">
        <f t="shared" si="108"/>
        <v>0</v>
      </c>
      <c r="AS225" s="56">
        <f>'Ship Data Metric'!E90*0.03280839895</f>
        <v>0</v>
      </c>
      <c r="AT225" s="75"/>
      <c r="AU225" s="168">
        <f t="shared" si="109"/>
        <v>0</v>
      </c>
      <c r="AV225" s="169">
        <f t="shared" si="110"/>
        <v>0</v>
      </c>
      <c r="AW225" s="170">
        <f t="shared" si="111"/>
        <v>0</v>
      </c>
      <c r="AX225" s="167">
        <f t="shared" si="112"/>
        <v>0</v>
      </c>
      <c r="AY225" s="166">
        <f t="shared" si="113"/>
        <v>0</v>
      </c>
    </row>
    <row r="226" ht="15.75" customHeight="1">
      <c r="AA226" s="75"/>
      <c r="AB226" s="76" t="s">
        <v>28</v>
      </c>
      <c r="AC226" s="56">
        <f>IF('Ship Data Imperial'!E91&gt;0,'Ship Data Imperial'!E91,AS226)</f>
        <v>0</v>
      </c>
      <c r="AD226" s="168">
        <f t="shared" si="114"/>
        <v>0</v>
      </c>
      <c r="AE226" s="169">
        <f t="shared" si="115"/>
        <v>0</v>
      </c>
      <c r="AF226" s="170">
        <f t="shared" si="116"/>
        <v>0</v>
      </c>
      <c r="AG226" s="166">
        <f t="shared" si="100"/>
        <v>0</v>
      </c>
      <c r="AH226" s="167">
        <f t="shared" si="101"/>
        <v>0</v>
      </c>
      <c r="AI226" s="168">
        <f t="shared" si="102"/>
        <v>0</v>
      </c>
      <c r="AJ226" s="169">
        <f t="shared" si="103"/>
        <v>0</v>
      </c>
      <c r="AK226" s="170">
        <f t="shared" si="104"/>
        <v>0</v>
      </c>
      <c r="AL226" s="167">
        <f t="shared" si="105"/>
        <v>0</v>
      </c>
      <c r="AM226" s="166">
        <f t="shared" si="117"/>
        <v>0</v>
      </c>
      <c r="AN226" s="168">
        <f t="shared" si="118"/>
        <v>0</v>
      </c>
      <c r="AO226" s="169">
        <f t="shared" si="106"/>
        <v>0</v>
      </c>
      <c r="AP226" s="170">
        <f t="shared" si="107"/>
        <v>0</v>
      </c>
      <c r="AQ226" s="166">
        <f t="shared" si="108"/>
        <v>0</v>
      </c>
      <c r="AS226" s="56">
        <f>'Ship Data Metric'!E91*0.03280839895</f>
        <v>0</v>
      </c>
      <c r="AT226" s="75"/>
      <c r="AU226" s="168">
        <f t="shared" si="109"/>
        <v>0</v>
      </c>
      <c r="AV226" s="169">
        <f t="shared" si="110"/>
        <v>0</v>
      </c>
      <c r="AW226" s="170">
        <f t="shared" si="111"/>
        <v>0</v>
      </c>
      <c r="AX226" s="167">
        <f t="shared" si="112"/>
        <v>0</v>
      </c>
      <c r="AY226" s="166">
        <f t="shared" si="113"/>
        <v>0</v>
      </c>
    </row>
    <row r="227" ht="15.75" customHeight="1">
      <c r="AA227" s="75"/>
      <c r="AB227" s="76" t="s">
        <v>29</v>
      </c>
      <c r="AC227" s="56">
        <f>IF('Ship Data Imperial'!E92&gt;0,'Ship Data Imperial'!E92,AS227)</f>
        <v>0</v>
      </c>
      <c r="AD227" s="168">
        <f t="shared" si="114"/>
        <v>0</v>
      </c>
      <c r="AE227" s="169">
        <f t="shared" si="115"/>
        <v>0</v>
      </c>
      <c r="AF227" s="170">
        <f t="shared" si="116"/>
        <v>0</v>
      </c>
      <c r="AG227" s="166">
        <f t="shared" si="100"/>
        <v>0</v>
      </c>
      <c r="AH227" s="167">
        <f t="shared" si="101"/>
        <v>0</v>
      </c>
      <c r="AI227" s="168">
        <f t="shared" si="102"/>
        <v>0</v>
      </c>
      <c r="AJ227" s="169">
        <f t="shared" si="103"/>
        <v>0</v>
      </c>
      <c r="AK227" s="170">
        <f t="shared" si="104"/>
        <v>0</v>
      </c>
      <c r="AL227" s="167">
        <f t="shared" si="105"/>
        <v>0</v>
      </c>
      <c r="AM227" s="166">
        <f t="shared" si="117"/>
        <v>0</v>
      </c>
      <c r="AN227" s="168">
        <f t="shared" si="118"/>
        <v>0</v>
      </c>
      <c r="AO227" s="169">
        <f t="shared" si="106"/>
        <v>0</v>
      </c>
      <c r="AP227" s="170">
        <f t="shared" si="107"/>
        <v>0</v>
      </c>
      <c r="AQ227" s="166">
        <f t="shared" si="108"/>
        <v>0</v>
      </c>
      <c r="AS227" s="56">
        <f>'Ship Data Metric'!E92*0.03280839895</f>
        <v>0</v>
      </c>
      <c r="AT227" s="75"/>
      <c r="AU227" s="168">
        <f t="shared" si="109"/>
        <v>0</v>
      </c>
      <c r="AV227" s="169">
        <f t="shared" si="110"/>
        <v>0</v>
      </c>
      <c r="AW227" s="170">
        <f t="shared" si="111"/>
        <v>0</v>
      </c>
      <c r="AX227" s="167">
        <f t="shared" si="112"/>
        <v>0</v>
      </c>
      <c r="AY227" s="166">
        <f t="shared" si="113"/>
        <v>0</v>
      </c>
    </row>
    <row r="228" ht="15.75" customHeight="1">
      <c r="AA228" s="75" t="s">
        <v>49</v>
      </c>
      <c r="AB228" s="76" t="s">
        <v>24</v>
      </c>
      <c r="AC228" s="56">
        <f>IF('Ship Data Imperial'!E93&gt;0,'Ship Data Imperial'!E93,AS228)</f>
        <v>0</v>
      </c>
      <c r="AD228" s="168">
        <f t="shared" si="114"/>
        <v>0</v>
      </c>
      <c r="AE228" s="169">
        <f t="shared" si="115"/>
        <v>0</v>
      </c>
      <c r="AF228" s="170">
        <f t="shared" si="116"/>
        <v>0</v>
      </c>
      <c r="AG228" s="166">
        <f t="shared" si="100"/>
        <v>0</v>
      </c>
      <c r="AH228" s="167">
        <f t="shared" si="101"/>
        <v>0</v>
      </c>
      <c r="AI228" s="168">
        <f t="shared" si="102"/>
        <v>0</v>
      </c>
      <c r="AJ228" s="169">
        <f t="shared" si="103"/>
        <v>0</v>
      </c>
      <c r="AK228" s="170">
        <f t="shared" si="104"/>
        <v>0</v>
      </c>
      <c r="AL228" s="167">
        <f t="shared" si="105"/>
        <v>0</v>
      </c>
      <c r="AM228" s="166">
        <f t="shared" si="117"/>
        <v>0</v>
      </c>
      <c r="AN228" s="168">
        <f t="shared" si="118"/>
        <v>0</v>
      </c>
      <c r="AO228" s="169">
        <f t="shared" si="106"/>
        <v>0</v>
      </c>
      <c r="AP228" s="170">
        <f t="shared" si="107"/>
        <v>0</v>
      </c>
      <c r="AQ228" s="166">
        <f t="shared" si="108"/>
        <v>0</v>
      </c>
      <c r="AS228" s="56">
        <f>'Ship Data Metric'!E93*0.03280839895</f>
        <v>0</v>
      </c>
      <c r="AT228" s="75" t="s">
        <v>49</v>
      </c>
      <c r="AU228" s="168">
        <f t="shared" si="109"/>
        <v>0</v>
      </c>
      <c r="AV228" s="169">
        <f t="shared" si="110"/>
        <v>0</v>
      </c>
      <c r="AW228" s="170">
        <f t="shared" si="111"/>
        <v>0</v>
      </c>
      <c r="AX228" s="167">
        <f t="shared" si="112"/>
        <v>0</v>
      </c>
      <c r="AY228" s="166">
        <f t="shared" si="113"/>
        <v>0</v>
      </c>
    </row>
    <row r="229" ht="15.75" customHeight="1">
      <c r="AA229" s="75"/>
      <c r="AB229" s="76" t="s">
        <v>25</v>
      </c>
      <c r="AC229" s="56">
        <f>IF('Ship Data Imperial'!E94&gt;0,'Ship Data Imperial'!E94,AS229)</f>
        <v>0</v>
      </c>
      <c r="AD229" s="168">
        <f t="shared" si="114"/>
        <v>0</v>
      </c>
      <c r="AE229" s="169">
        <f t="shared" si="115"/>
        <v>0</v>
      </c>
      <c r="AF229" s="170">
        <f t="shared" si="116"/>
        <v>0</v>
      </c>
      <c r="AG229" s="166">
        <f t="shared" si="100"/>
        <v>0</v>
      </c>
      <c r="AH229" s="167">
        <f t="shared" si="101"/>
        <v>0</v>
      </c>
      <c r="AI229" s="168">
        <f t="shared" si="102"/>
        <v>0</v>
      </c>
      <c r="AJ229" s="169">
        <f t="shared" si="103"/>
        <v>0</v>
      </c>
      <c r="AK229" s="170">
        <f t="shared" si="104"/>
        <v>0</v>
      </c>
      <c r="AL229" s="167">
        <f t="shared" si="105"/>
        <v>0</v>
      </c>
      <c r="AM229" s="166">
        <f t="shared" si="117"/>
        <v>0</v>
      </c>
      <c r="AN229" s="168">
        <f t="shared" si="118"/>
        <v>0</v>
      </c>
      <c r="AO229" s="169">
        <f t="shared" si="106"/>
        <v>0</v>
      </c>
      <c r="AP229" s="170">
        <f t="shared" si="107"/>
        <v>0</v>
      </c>
      <c r="AQ229" s="166">
        <f t="shared" si="108"/>
        <v>0</v>
      </c>
      <c r="AS229" s="56">
        <f>'Ship Data Metric'!E94*0.03280839895</f>
        <v>0</v>
      </c>
      <c r="AT229" s="75"/>
      <c r="AU229" s="168">
        <f t="shared" si="109"/>
        <v>0</v>
      </c>
      <c r="AV229" s="169">
        <f t="shared" si="110"/>
        <v>0</v>
      </c>
      <c r="AW229" s="170">
        <f t="shared" si="111"/>
        <v>0</v>
      </c>
      <c r="AX229" s="167">
        <f t="shared" si="112"/>
        <v>0</v>
      </c>
      <c r="AY229" s="166">
        <f t="shared" si="113"/>
        <v>0</v>
      </c>
    </row>
    <row r="230" ht="15.75" customHeight="1">
      <c r="AA230" s="75"/>
      <c r="AB230" s="76" t="s">
        <v>26</v>
      </c>
      <c r="AC230" s="56">
        <f>IF('Ship Data Imperial'!E95&gt;0,'Ship Data Imperial'!E95,AS230)</f>
        <v>0</v>
      </c>
      <c r="AD230" s="168">
        <f t="shared" si="114"/>
        <v>0</v>
      </c>
      <c r="AE230" s="169">
        <f t="shared" si="115"/>
        <v>0</v>
      </c>
      <c r="AF230" s="170">
        <f t="shared" si="116"/>
        <v>0</v>
      </c>
      <c r="AG230" s="166">
        <f t="shared" si="100"/>
        <v>0</v>
      </c>
      <c r="AH230" s="167">
        <f t="shared" si="101"/>
        <v>0</v>
      </c>
      <c r="AI230" s="168">
        <f t="shared" si="102"/>
        <v>0</v>
      </c>
      <c r="AJ230" s="169">
        <f t="shared" si="103"/>
        <v>0</v>
      </c>
      <c r="AK230" s="170">
        <f t="shared" si="104"/>
        <v>0</v>
      </c>
      <c r="AL230" s="167">
        <f t="shared" si="105"/>
        <v>0</v>
      </c>
      <c r="AM230" s="166">
        <f t="shared" si="117"/>
        <v>0</v>
      </c>
      <c r="AN230" s="168">
        <f t="shared" si="118"/>
        <v>0</v>
      </c>
      <c r="AO230" s="169">
        <f t="shared" si="106"/>
        <v>0</v>
      </c>
      <c r="AP230" s="170">
        <f t="shared" si="107"/>
        <v>0</v>
      </c>
      <c r="AQ230" s="166">
        <f t="shared" si="108"/>
        <v>0</v>
      </c>
      <c r="AS230" s="56">
        <f>'Ship Data Metric'!E95*0.03280839895</f>
        <v>0</v>
      </c>
      <c r="AT230" s="75"/>
      <c r="AU230" s="168">
        <f t="shared" si="109"/>
        <v>0</v>
      </c>
      <c r="AV230" s="169">
        <f t="shared" si="110"/>
        <v>0</v>
      </c>
      <c r="AW230" s="170">
        <f t="shared" si="111"/>
        <v>0</v>
      </c>
      <c r="AX230" s="167">
        <f t="shared" si="112"/>
        <v>0</v>
      </c>
      <c r="AY230" s="166">
        <f t="shared" si="113"/>
        <v>0</v>
      </c>
    </row>
    <row r="231" ht="15.75" customHeight="1">
      <c r="AA231" s="75"/>
      <c r="AB231" s="76" t="s">
        <v>27</v>
      </c>
      <c r="AC231" s="56">
        <f>IF('Ship Data Imperial'!E96&gt;0,'Ship Data Imperial'!E96,AS231)</f>
        <v>0</v>
      </c>
      <c r="AD231" s="168">
        <f t="shared" si="114"/>
        <v>0</v>
      </c>
      <c r="AE231" s="169">
        <f t="shared" si="115"/>
        <v>0</v>
      </c>
      <c r="AF231" s="170">
        <f t="shared" si="116"/>
        <v>0</v>
      </c>
      <c r="AG231" s="166">
        <f t="shared" si="100"/>
        <v>0</v>
      </c>
      <c r="AH231" s="167">
        <f t="shared" si="101"/>
        <v>0</v>
      </c>
      <c r="AI231" s="168">
        <f t="shared" si="102"/>
        <v>0</v>
      </c>
      <c r="AJ231" s="169">
        <f t="shared" si="103"/>
        <v>0</v>
      </c>
      <c r="AK231" s="170">
        <f t="shared" si="104"/>
        <v>0</v>
      </c>
      <c r="AL231" s="167">
        <f t="shared" si="105"/>
        <v>0</v>
      </c>
      <c r="AM231" s="166">
        <f t="shared" si="117"/>
        <v>0</v>
      </c>
      <c r="AN231" s="168">
        <f t="shared" si="118"/>
        <v>0</v>
      </c>
      <c r="AO231" s="169">
        <f t="shared" si="106"/>
        <v>0</v>
      </c>
      <c r="AP231" s="170">
        <f t="shared" si="107"/>
        <v>0</v>
      </c>
      <c r="AQ231" s="166">
        <f t="shared" si="108"/>
        <v>0</v>
      </c>
      <c r="AS231" s="56">
        <f>'Ship Data Metric'!E96*0.03280839895</f>
        <v>0</v>
      </c>
      <c r="AT231" s="75"/>
      <c r="AU231" s="168">
        <f t="shared" si="109"/>
        <v>0</v>
      </c>
      <c r="AV231" s="169">
        <f t="shared" si="110"/>
        <v>0</v>
      </c>
      <c r="AW231" s="170">
        <f t="shared" si="111"/>
        <v>0</v>
      </c>
      <c r="AX231" s="167">
        <f t="shared" si="112"/>
        <v>0</v>
      </c>
      <c r="AY231" s="166">
        <f t="shared" si="113"/>
        <v>0</v>
      </c>
    </row>
    <row r="232" ht="15.75" customHeight="1">
      <c r="AA232" s="75"/>
      <c r="AB232" s="76" t="s">
        <v>28</v>
      </c>
      <c r="AC232" s="56">
        <f>IF('Ship Data Imperial'!E97&gt;0,'Ship Data Imperial'!E97,AS232)</f>
        <v>0</v>
      </c>
      <c r="AD232" s="168">
        <f t="shared" si="114"/>
        <v>0</v>
      </c>
      <c r="AE232" s="169">
        <f t="shared" si="115"/>
        <v>0</v>
      </c>
      <c r="AF232" s="170">
        <f t="shared" si="116"/>
        <v>0</v>
      </c>
      <c r="AG232" s="166">
        <f t="shared" si="100"/>
        <v>0</v>
      </c>
      <c r="AH232" s="167">
        <f t="shared" si="101"/>
        <v>0</v>
      </c>
      <c r="AI232" s="168">
        <f t="shared" si="102"/>
        <v>0</v>
      </c>
      <c r="AJ232" s="169">
        <f t="shared" si="103"/>
        <v>0</v>
      </c>
      <c r="AK232" s="170">
        <f t="shared" si="104"/>
        <v>0</v>
      </c>
      <c r="AL232" s="167">
        <f t="shared" si="105"/>
        <v>0</v>
      </c>
      <c r="AM232" s="166">
        <f t="shared" si="117"/>
        <v>0</v>
      </c>
      <c r="AN232" s="168">
        <f t="shared" si="118"/>
        <v>0</v>
      </c>
      <c r="AO232" s="169">
        <f t="shared" si="106"/>
        <v>0</v>
      </c>
      <c r="AP232" s="170">
        <f t="shared" si="107"/>
        <v>0</v>
      </c>
      <c r="AQ232" s="166">
        <f t="shared" si="108"/>
        <v>0</v>
      </c>
      <c r="AS232" s="56">
        <f>'Ship Data Metric'!E97*0.03280839895</f>
        <v>0</v>
      </c>
      <c r="AT232" s="75"/>
      <c r="AU232" s="168">
        <f t="shared" si="109"/>
        <v>0</v>
      </c>
      <c r="AV232" s="169">
        <f t="shared" si="110"/>
        <v>0</v>
      </c>
      <c r="AW232" s="170">
        <f t="shared" si="111"/>
        <v>0</v>
      </c>
      <c r="AX232" s="167">
        <f t="shared" si="112"/>
        <v>0</v>
      </c>
      <c r="AY232" s="166">
        <f t="shared" si="113"/>
        <v>0</v>
      </c>
    </row>
    <row r="233" ht="15.75" customHeight="1">
      <c r="AA233" s="75"/>
      <c r="AB233" s="76" t="s">
        <v>29</v>
      </c>
      <c r="AC233" s="56">
        <f>IF('Ship Data Imperial'!E98&gt;0,'Ship Data Imperial'!E98,AS233)</f>
        <v>0</v>
      </c>
      <c r="AD233" s="168">
        <f t="shared" si="114"/>
        <v>0</v>
      </c>
      <c r="AE233" s="169">
        <f t="shared" si="115"/>
        <v>0</v>
      </c>
      <c r="AF233" s="170">
        <f t="shared" si="116"/>
        <v>0</v>
      </c>
      <c r="AG233" s="166">
        <f t="shared" si="100"/>
        <v>0</v>
      </c>
      <c r="AH233" s="167">
        <f t="shared" si="101"/>
        <v>0</v>
      </c>
      <c r="AI233" s="168">
        <f t="shared" si="102"/>
        <v>0</v>
      </c>
      <c r="AJ233" s="169">
        <f t="shared" si="103"/>
        <v>0</v>
      </c>
      <c r="AK233" s="170">
        <f t="shared" si="104"/>
        <v>0</v>
      </c>
      <c r="AL233" s="167">
        <f t="shared" si="105"/>
        <v>0</v>
      </c>
      <c r="AM233" s="166">
        <f t="shared" si="117"/>
        <v>0</v>
      </c>
      <c r="AN233" s="168">
        <f t="shared" si="118"/>
        <v>0</v>
      </c>
      <c r="AO233" s="169">
        <f t="shared" si="106"/>
        <v>0</v>
      </c>
      <c r="AP233" s="170">
        <f t="shared" si="107"/>
        <v>0</v>
      </c>
      <c r="AQ233" s="166">
        <f t="shared" si="108"/>
        <v>0</v>
      </c>
      <c r="AS233" s="56">
        <f>'Ship Data Metric'!E98*0.03280839895</f>
        <v>0</v>
      </c>
      <c r="AT233" s="75"/>
      <c r="AU233" s="168">
        <f t="shared" si="109"/>
        <v>0</v>
      </c>
      <c r="AV233" s="169">
        <f t="shared" si="110"/>
        <v>0</v>
      </c>
      <c r="AW233" s="170">
        <f t="shared" si="111"/>
        <v>0</v>
      </c>
      <c r="AX233" s="167">
        <f t="shared" si="112"/>
        <v>0</v>
      </c>
      <c r="AY233" s="166">
        <f t="shared" si="113"/>
        <v>0</v>
      </c>
    </row>
    <row r="234" ht="15.75" customHeight="1">
      <c r="AA234" s="75" t="s">
        <v>50</v>
      </c>
      <c r="AB234" s="158" t="s">
        <v>24</v>
      </c>
      <c r="AC234" s="56">
        <f>IF('Ship Data Imperial'!E99&gt;0,'Ship Data Imperial'!E99,AS234)</f>
        <v>0</v>
      </c>
      <c r="AD234" s="168">
        <f t="shared" si="114"/>
        <v>0</v>
      </c>
      <c r="AE234" s="169">
        <f t="shared" si="115"/>
        <v>0</v>
      </c>
      <c r="AF234" s="170">
        <f t="shared" si="116"/>
        <v>0</v>
      </c>
      <c r="AG234" s="166">
        <f t="shared" si="100"/>
        <v>0</v>
      </c>
      <c r="AH234" s="167">
        <f t="shared" si="101"/>
        <v>0</v>
      </c>
      <c r="AI234" s="168">
        <f t="shared" si="102"/>
        <v>0</v>
      </c>
      <c r="AJ234" s="169">
        <f t="shared" si="103"/>
        <v>0</v>
      </c>
      <c r="AK234" s="170">
        <f t="shared" si="104"/>
        <v>0</v>
      </c>
      <c r="AL234" s="167">
        <f t="shared" si="105"/>
        <v>0</v>
      </c>
      <c r="AM234" s="166">
        <f t="shared" si="117"/>
        <v>0</v>
      </c>
      <c r="AN234" s="168">
        <f t="shared" si="118"/>
        <v>0</v>
      </c>
      <c r="AO234" s="169">
        <f t="shared" si="106"/>
        <v>0</v>
      </c>
      <c r="AP234" s="170">
        <f t="shared" si="107"/>
        <v>0</v>
      </c>
      <c r="AQ234" s="166">
        <f t="shared" si="108"/>
        <v>0</v>
      </c>
      <c r="AS234" s="56">
        <f>'Ship Data Metric'!E99*0.03280839895</f>
        <v>0</v>
      </c>
      <c r="AT234" s="75" t="s">
        <v>50</v>
      </c>
      <c r="AU234" s="168">
        <f t="shared" si="109"/>
        <v>0</v>
      </c>
      <c r="AV234" s="169">
        <f t="shared" si="110"/>
        <v>0</v>
      </c>
      <c r="AW234" s="170">
        <f t="shared" si="111"/>
        <v>0</v>
      </c>
      <c r="AX234" s="167">
        <f t="shared" si="112"/>
        <v>0</v>
      </c>
      <c r="AY234" s="166">
        <f t="shared" si="113"/>
        <v>0</v>
      </c>
    </row>
    <row r="235" ht="15.75" customHeight="1">
      <c r="AA235" s="75"/>
      <c r="AB235" s="158" t="s">
        <v>25</v>
      </c>
      <c r="AC235" s="56">
        <f>IF('Ship Data Imperial'!E100&gt;0,'Ship Data Imperial'!E100,AS235)</f>
        <v>0</v>
      </c>
      <c r="AD235" s="168">
        <f t="shared" si="114"/>
        <v>0</v>
      </c>
      <c r="AE235" s="169">
        <f t="shared" si="115"/>
        <v>0</v>
      </c>
      <c r="AF235" s="170">
        <f t="shared" si="116"/>
        <v>0</v>
      </c>
      <c r="AG235" s="166">
        <f t="shared" si="100"/>
        <v>0</v>
      </c>
      <c r="AH235" s="167">
        <f t="shared" si="101"/>
        <v>0</v>
      </c>
      <c r="AI235" s="168">
        <f t="shared" si="102"/>
        <v>0</v>
      </c>
      <c r="AJ235" s="169">
        <f t="shared" si="103"/>
        <v>0</v>
      </c>
      <c r="AK235" s="170">
        <f t="shared" si="104"/>
        <v>0</v>
      </c>
      <c r="AL235" s="167">
        <f t="shared" si="105"/>
        <v>0</v>
      </c>
      <c r="AM235" s="166">
        <f t="shared" si="117"/>
        <v>0</v>
      </c>
      <c r="AN235" s="168">
        <f t="shared" si="118"/>
        <v>0</v>
      </c>
      <c r="AO235" s="169">
        <f t="shared" si="106"/>
        <v>0</v>
      </c>
      <c r="AP235" s="170">
        <f t="shared" si="107"/>
        <v>0</v>
      </c>
      <c r="AQ235" s="166">
        <f t="shared" si="108"/>
        <v>0</v>
      </c>
      <c r="AS235" s="56">
        <f>'Ship Data Metric'!E100*0.03280839895</f>
        <v>0</v>
      </c>
      <c r="AT235" s="75"/>
      <c r="AU235" s="168">
        <f t="shared" si="109"/>
        <v>0</v>
      </c>
      <c r="AV235" s="169">
        <f t="shared" si="110"/>
        <v>0</v>
      </c>
      <c r="AW235" s="170">
        <f t="shared" si="111"/>
        <v>0</v>
      </c>
      <c r="AX235" s="167">
        <f t="shared" si="112"/>
        <v>0</v>
      </c>
      <c r="AY235" s="166">
        <f t="shared" si="113"/>
        <v>0</v>
      </c>
    </row>
    <row r="236" ht="15.75" customHeight="1">
      <c r="AA236" s="75"/>
      <c r="AB236" s="158" t="s">
        <v>40</v>
      </c>
      <c r="AC236" s="56">
        <f>IF('Ship Data Imperial'!E101&gt;0,'Ship Data Imperial'!E101,AS236)</f>
        <v>0</v>
      </c>
      <c r="AD236" s="168">
        <f t="shared" si="114"/>
        <v>0</v>
      </c>
      <c r="AE236" s="169">
        <f t="shared" si="115"/>
        <v>0</v>
      </c>
      <c r="AF236" s="170">
        <f t="shared" si="116"/>
        <v>0</v>
      </c>
      <c r="AG236" s="166">
        <f t="shared" si="100"/>
        <v>0</v>
      </c>
      <c r="AH236" s="167">
        <f t="shared" si="101"/>
        <v>0</v>
      </c>
      <c r="AI236" s="168">
        <f t="shared" si="102"/>
        <v>0</v>
      </c>
      <c r="AJ236" s="169">
        <f t="shared" si="103"/>
        <v>0</v>
      </c>
      <c r="AK236" s="170">
        <f t="shared" si="104"/>
        <v>0</v>
      </c>
      <c r="AL236" s="167">
        <f t="shared" si="105"/>
        <v>0</v>
      </c>
      <c r="AM236" s="166">
        <f t="shared" si="117"/>
        <v>0</v>
      </c>
      <c r="AN236" s="168">
        <f t="shared" si="118"/>
        <v>0</v>
      </c>
      <c r="AO236" s="169">
        <f t="shared" si="106"/>
        <v>0</v>
      </c>
      <c r="AP236" s="170">
        <f t="shared" si="107"/>
        <v>0</v>
      </c>
      <c r="AQ236" s="166">
        <f t="shared" si="108"/>
        <v>0</v>
      </c>
      <c r="AS236" s="56">
        <f>'Ship Data Metric'!E101*0.03280839895</f>
        <v>0</v>
      </c>
      <c r="AT236" s="75"/>
      <c r="AU236" s="168">
        <f t="shared" si="109"/>
        <v>0</v>
      </c>
      <c r="AV236" s="169">
        <f t="shared" si="110"/>
        <v>0</v>
      </c>
      <c r="AW236" s="170">
        <f t="shared" si="111"/>
        <v>0</v>
      </c>
      <c r="AX236" s="167">
        <f t="shared" si="112"/>
        <v>0</v>
      </c>
      <c r="AY236" s="166">
        <f t="shared" si="113"/>
        <v>0</v>
      </c>
    </row>
    <row r="237" ht="15.75" customHeight="1">
      <c r="AA237" s="75"/>
      <c r="AB237" s="158" t="s">
        <v>41</v>
      </c>
      <c r="AC237" s="56">
        <f>IF('Ship Data Imperial'!E102&gt;0,'Ship Data Imperial'!E102,AS237)</f>
        <v>0</v>
      </c>
      <c r="AD237" s="168">
        <f t="shared" si="114"/>
        <v>0</v>
      </c>
      <c r="AE237" s="169">
        <f t="shared" si="115"/>
        <v>0</v>
      </c>
      <c r="AF237" s="170">
        <f t="shared" si="116"/>
        <v>0</v>
      </c>
      <c r="AG237" s="166">
        <f t="shared" si="100"/>
        <v>0</v>
      </c>
      <c r="AH237" s="167">
        <f t="shared" si="101"/>
        <v>0</v>
      </c>
      <c r="AI237" s="168">
        <f t="shared" si="102"/>
        <v>0</v>
      </c>
      <c r="AJ237" s="169">
        <f t="shared" si="103"/>
        <v>0</v>
      </c>
      <c r="AK237" s="170">
        <f t="shared" si="104"/>
        <v>0</v>
      </c>
      <c r="AL237" s="167">
        <f t="shared" si="105"/>
        <v>0</v>
      </c>
      <c r="AM237" s="166">
        <f t="shared" si="117"/>
        <v>0</v>
      </c>
      <c r="AN237" s="168">
        <f t="shared" si="118"/>
        <v>0</v>
      </c>
      <c r="AO237" s="169">
        <f t="shared" si="106"/>
        <v>0</v>
      </c>
      <c r="AP237" s="170">
        <f t="shared" si="107"/>
        <v>0</v>
      </c>
      <c r="AQ237" s="166">
        <f t="shared" si="108"/>
        <v>0</v>
      </c>
      <c r="AS237" s="56">
        <f>'Ship Data Metric'!E102*0.03280839895</f>
        <v>0</v>
      </c>
      <c r="AT237" s="75"/>
      <c r="AU237" s="168">
        <f t="shared" si="109"/>
        <v>0</v>
      </c>
      <c r="AV237" s="169">
        <f t="shared" si="110"/>
        <v>0</v>
      </c>
      <c r="AW237" s="170">
        <f t="shared" si="111"/>
        <v>0</v>
      </c>
      <c r="AX237" s="167">
        <f t="shared" si="112"/>
        <v>0</v>
      </c>
      <c r="AY237" s="166">
        <f t="shared" si="113"/>
        <v>0</v>
      </c>
    </row>
    <row r="238" ht="15.75" customHeight="1">
      <c r="AA238" s="75"/>
      <c r="AB238" s="76" t="s">
        <v>27</v>
      </c>
      <c r="AC238" s="56">
        <f>IF('Ship Data Imperial'!E103&gt;0,'Ship Data Imperial'!E103,AS238)</f>
        <v>0</v>
      </c>
      <c r="AD238" s="168">
        <f t="shared" si="114"/>
        <v>0</v>
      </c>
      <c r="AE238" s="169">
        <f t="shared" si="115"/>
        <v>0</v>
      </c>
      <c r="AF238" s="170">
        <f t="shared" si="116"/>
        <v>0</v>
      </c>
      <c r="AG238" s="166">
        <f t="shared" si="100"/>
        <v>0</v>
      </c>
      <c r="AH238" s="167">
        <f t="shared" si="101"/>
        <v>0</v>
      </c>
      <c r="AI238" s="168">
        <f t="shared" si="102"/>
        <v>0</v>
      </c>
      <c r="AJ238" s="169">
        <f t="shared" si="103"/>
        <v>0</v>
      </c>
      <c r="AK238" s="170">
        <f t="shared" si="104"/>
        <v>0</v>
      </c>
      <c r="AL238" s="167">
        <f t="shared" si="105"/>
        <v>0</v>
      </c>
      <c r="AM238" s="166">
        <f t="shared" si="117"/>
        <v>0</v>
      </c>
      <c r="AN238" s="168">
        <f t="shared" si="118"/>
        <v>0</v>
      </c>
      <c r="AO238" s="169">
        <f t="shared" si="106"/>
        <v>0</v>
      </c>
      <c r="AP238" s="170">
        <f t="shared" si="107"/>
        <v>0</v>
      </c>
      <c r="AQ238" s="166">
        <f t="shared" si="108"/>
        <v>0</v>
      </c>
      <c r="AS238" s="56">
        <f>'Ship Data Metric'!E103*0.03280839895</f>
        <v>0</v>
      </c>
      <c r="AT238" s="75"/>
      <c r="AU238" s="168">
        <f t="shared" si="109"/>
        <v>0</v>
      </c>
      <c r="AV238" s="169">
        <f t="shared" si="110"/>
        <v>0</v>
      </c>
      <c r="AW238" s="170">
        <f t="shared" si="111"/>
        <v>0</v>
      </c>
      <c r="AX238" s="167">
        <f t="shared" si="112"/>
        <v>0</v>
      </c>
      <c r="AY238" s="166">
        <f t="shared" si="113"/>
        <v>0</v>
      </c>
    </row>
    <row r="239" ht="15.75" customHeight="1">
      <c r="AA239" s="75"/>
      <c r="AB239" s="76" t="s">
        <v>28</v>
      </c>
      <c r="AC239" s="56">
        <f>IF('Ship Data Imperial'!E104&gt;0,'Ship Data Imperial'!E104,AS239)</f>
        <v>39.29002625</v>
      </c>
      <c r="AD239" s="168">
        <f t="shared" si="114"/>
        <v>4.492932686</v>
      </c>
      <c r="AE239" s="169">
        <f t="shared" si="115"/>
        <v>3.9313161</v>
      </c>
      <c r="AF239" s="170">
        <f t="shared" si="116"/>
        <v>0.02610639598</v>
      </c>
      <c r="AG239" s="166">
        <f t="shared" si="100"/>
        <v>0.03091806759</v>
      </c>
      <c r="AH239" s="167">
        <f t="shared" si="101"/>
        <v>0.03788978871</v>
      </c>
      <c r="AI239" s="168">
        <f t="shared" si="102"/>
        <v>0</v>
      </c>
      <c r="AJ239" s="169">
        <f t="shared" si="103"/>
        <v>0.01780880693</v>
      </c>
      <c r="AK239" s="170">
        <f t="shared" si="104"/>
        <v>0.0218245183</v>
      </c>
      <c r="AL239" s="167">
        <f t="shared" si="105"/>
        <v>0</v>
      </c>
      <c r="AM239" s="166">
        <f t="shared" si="117"/>
        <v>0.032640106</v>
      </c>
      <c r="AN239" s="168">
        <f t="shared" si="118"/>
        <v>0.0359041166</v>
      </c>
      <c r="AO239" s="169">
        <f t="shared" si="106"/>
        <v>0.0218245183</v>
      </c>
      <c r="AP239" s="170">
        <f t="shared" si="107"/>
        <v>0.03788978871</v>
      </c>
      <c r="AQ239" s="166">
        <f t="shared" si="108"/>
        <v>0.0218245183</v>
      </c>
      <c r="AS239" s="56">
        <f>'Ship Data Metric'!E104*0.03280839895</f>
        <v>39.29002625</v>
      </c>
      <c r="AT239" s="75"/>
      <c r="AU239" s="168">
        <f t="shared" si="109"/>
        <v>0.01319500815</v>
      </c>
      <c r="AV239" s="169">
        <f t="shared" si="110"/>
        <v>0.01039210813</v>
      </c>
      <c r="AW239" s="170">
        <f t="shared" si="111"/>
        <v>0.008479960234</v>
      </c>
      <c r="AX239" s="167">
        <f t="shared" si="112"/>
        <v>0.006235264878</v>
      </c>
      <c r="AY239" s="166">
        <f t="shared" si="113"/>
        <v>0.005087976141</v>
      </c>
    </row>
    <row r="240" ht="15.75" customHeight="1">
      <c r="AA240" s="75"/>
      <c r="AB240" s="76" t="s">
        <v>29</v>
      </c>
      <c r="AC240" s="56">
        <f>IF('Ship Data Imperial'!E105&gt;0,'Ship Data Imperial'!E105,AS240)</f>
        <v>0</v>
      </c>
      <c r="AD240" s="168">
        <f t="shared" si="114"/>
        <v>0</v>
      </c>
      <c r="AE240" s="169">
        <f t="shared" si="115"/>
        <v>0</v>
      </c>
      <c r="AF240" s="170">
        <f t="shared" si="116"/>
        <v>0</v>
      </c>
      <c r="AG240" s="166">
        <f t="shared" si="100"/>
        <v>0</v>
      </c>
      <c r="AH240" s="167">
        <f t="shared" si="101"/>
        <v>0</v>
      </c>
      <c r="AI240" s="168">
        <f t="shared" si="102"/>
        <v>0</v>
      </c>
      <c r="AJ240" s="169">
        <f t="shared" si="103"/>
        <v>0</v>
      </c>
      <c r="AK240" s="170">
        <f t="shared" si="104"/>
        <v>0</v>
      </c>
      <c r="AL240" s="167">
        <f t="shared" si="105"/>
        <v>0</v>
      </c>
      <c r="AM240" s="166">
        <f t="shared" si="117"/>
        <v>0</v>
      </c>
      <c r="AN240" s="168">
        <f t="shared" si="118"/>
        <v>0</v>
      </c>
      <c r="AO240" s="169">
        <f t="shared" si="106"/>
        <v>0</v>
      </c>
      <c r="AP240" s="170">
        <f t="shared" si="107"/>
        <v>0</v>
      </c>
      <c r="AQ240" s="166">
        <f t="shared" si="108"/>
        <v>0</v>
      </c>
      <c r="AS240" s="56">
        <f>'Ship Data Metric'!E105*0.03280839895</f>
        <v>0</v>
      </c>
      <c r="AT240" s="75"/>
      <c r="AU240" s="168">
        <f t="shared" si="109"/>
        <v>0</v>
      </c>
      <c r="AV240" s="169">
        <f t="shared" si="110"/>
        <v>0</v>
      </c>
      <c r="AW240" s="170">
        <f t="shared" si="111"/>
        <v>0</v>
      </c>
      <c r="AX240" s="167">
        <f t="shared" si="112"/>
        <v>0</v>
      </c>
      <c r="AY240" s="166">
        <f t="shared" si="113"/>
        <v>0</v>
      </c>
    </row>
    <row r="241" ht="15.75" customHeight="1">
      <c r="AA241" s="75"/>
      <c r="AB241" s="158" t="s">
        <v>56</v>
      </c>
      <c r="AC241" s="56">
        <f>IF('Ship Data Imperial'!E106&gt;0,'Ship Data Imperial'!E106,AS241)</f>
        <v>0</v>
      </c>
      <c r="AD241" s="168">
        <f t="shared" si="114"/>
        <v>0</v>
      </c>
      <c r="AE241" s="169">
        <f t="shared" si="115"/>
        <v>0</v>
      </c>
      <c r="AF241" s="170">
        <f t="shared" si="116"/>
        <v>0</v>
      </c>
      <c r="AG241" s="166">
        <f t="shared" si="100"/>
        <v>0</v>
      </c>
      <c r="AH241" s="167">
        <f t="shared" si="101"/>
        <v>0</v>
      </c>
      <c r="AI241" s="168">
        <f t="shared" si="102"/>
        <v>0</v>
      </c>
      <c r="AJ241" s="169">
        <f t="shared" si="103"/>
        <v>0</v>
      </c>
      <c r="AK241" s="170">
        <f t="shared" si="104"/>
        <v>0</v>
      </c>
      <c r="AL241" s="167">
        <f t="shared" si="105"/>
        <v>0</v>
      </c>
      <c r="AM241" s="166">
        <f t="shared" si="117"/>
        <v>0</v>
      </c>
      <c r="AN241" s="168">
        <f t="shared" si="118"/>
        <v>0</v>
      </c>
      <c r="AO241" s="169">
        <f t="shared" si="106"/>
        <v>0</v>
      </c>
      <c r="AP241" s="170">
        <f t="shared" si="107"/>
        <v>0</v>
      </c>
      <c r="AQ241" s="166">
        <f t="shared" si="108"/>
        <v>0</v>
      </c>
      <c r="AS241" s="56">
        <f>'Ship Data Metric'!E106*0.03280839895</f>
        <v>0</v>
      </c>
      <c r="AT241" s="75"/>
      <c r="AU241" s="168">
        <f t="shared" si="109"/>
        <v>0</v>
      </c>
      <c r="AV241" s="169">
        <f t="shared" si="110"/>
        <v>0</v>
      </c>
      <c r="AW241" s="170">
        <f t="shared" si="111"/>
        <v>0</v>
      </c>
      <c r="AX241" s="167">
        <f t="shared" si="112"/>
        <v>0</v>
      </c>
      <c r="AY241" s="166">
        <f t="shared" si="113"/>
        <v>0</v>
      </c>
    </row>
    <row r="242" ht="15.75" customHeight="1">
      <c r="AA242" s="75" t="s">
        <v>52</v>
      </c>
      <c r="AB242" s="158" t="s">
        <v>24</v>
      </c>
      <c r="AC242" s="56">
        <f>IF('Ship Data Imperial'!E107&gt;0,'Ship Data Imperial'!E107,AS242)</f>
        <v>0</v>
      </c>
      <c r="AD242" s="168">
        <f t="shared" ref="AD242:AD271" si="119">IF(AC242&gt;0,$D$12*0.5,0)</f>
        <v>0</v>
      </c>
      <c r="AE242" s="169">
        <f t="shared" ref="AE242:AE271" si="120">IF(AC242&gt;0,$D$7*0.5,0)</f>
        <v>0</v>
      </c>
      <c r="AF242" s="170">
        <f t="shared" ref="AF242:AF271" si="121">IF(AC242&gt;0,$H$17*0.5,0)</f>
        <v>0</v>
      </c>
      <c r="AG242" s="166">
        <f t="shared" si="100"/>
        <v>0</v>
      </c>
      <c r="AH242" s="167">
        <f t="shared" si="101"/>
        <v>0</v>
      </c>
      <c r="AI242" s="168">
        <f t="shared" si="102"/>
        <v>0</v>
      </c>
      <c r="AJ242" s="169">
        <f t="shared" si="103"/>
        <v>0</v>
      </c>
      <c r="AK242" s="170">
        <f t="shared" si="104"/>
        <v>0</v>
      </c>
      <c r="AL242" s="167">
        <f t="shared" si="105"/>
        <v>0</v>
      </c>
      <c r="AM242" s="166">
        <f t="shared" si="117"/>
        <v>0</v>
      </c>
      <c r="AN242" s="168">
        <f t="shared" si="118"/>
        <v>0</v>
      </c>
      <c r="AO242" s="169">
        <f t="shared" si="106"/>
        <v>0</v>
      </c>
      <c r="AP242" s="170">
        <f t="shared" si="107"/>
        <v>0</v>
      </c>
      <c r="AQ242" s="166">
        <f t="shared" si="108"/>
        <v>0</v>
      </c>
      <c r="AS242" s="56">
        <f>'Ship Data Metric'!E107*0.03280839895</f>
        <v>0</v>
      </c>
      <c r="AT242" s="75" t="s">
        <v>52</v>
      </c>
      <c r="AU242" s="168">
        <f t="shared" si="109"/>
        <v>0</v>
      </c>
      <c r="AV242" s="169">
        <f t="shared" si="110"/>
        <v>0</v>
      </c>
      <c r="AW242" s="170">
        <f t="shared" si="111"/>
        <v>0</v>
      </c>
      <c r="AX242" s="167">
        <f t="shared" si="112"/>
        <v>0</v>
      </c>
      <c r="AY242" s="166">
        <f t="shared" si="113"/>
        <v>0</v>
      </c>
    </row>
    <row r="243" ht="15.75" customHeight="1">
      <c r="AA243" s="75"/>
      <c r="AB243" s="158" t="s">
        <v>25</v>
      </c>
      <c r="AC243" s="56">
        <f>IF('Ship Data Imperial'!E108&gt;0,'Ship Data Imperial'!E108,AS243)</f>
        <v>0</v>
      </c>
      <c r="AD243" s="168">
        <f t="shared" si="119"/>
        <v>0</v>
      </c>
      <c r="AE243" s="169">
        <f t="shared" si="120"/>
        <v>0</v>
      </c>
      <c r="AF243" s="170">
        <f t="shared" si="121"/>
        <v>0</v>
      </c>
      <c r="AG243" s="166">
        <f t="shared" si="100"/>
        <v>0</v>
      </c>
      <c r="AH243" s="167">
        <f t="shared" si="101"/>
        <v>0</v>
      </c>
      <c r="AI243" s="168">
        <f t="shared" si="102"/>
        <v>0</v>
      </c>
      <c r="AJ243" s="169">
        <f t="shared" si="103"/>
        <v>0</v>
      </c>
      <c r="AK243" s="170">
        <f t="shared" si="104"/>
        <v>0</v>
      </c>
      <c r="AL243" s="167">
        <f t="shared" si="105"/>
        <v>0</v>
      </c>
      <c r="AM243" s="166">
        <f t="shared" si="117"/>
        <v>0</v>
      </c>
      <c r="AN243" s="168">
        <f t="shared" si="118"/>
        <v>0</v>
      </c>
      <c r="AO243" s="169">
        <f t="shared" si="106"/>
        <v>0</v>
      </c>
      <c r="AP243" s="170">
        <f t="shared" si="107"/>
        <v>0</v>
      </c>
      <c r="AQ243" s="166">
        <f t="shared" si="108"/>
        <v>0</v>
      </c>
      <c r="AS243" s="56">
        <f>'Ship Data Metric'!E108*0.03280839895</f>
        <v>0</v>
      </c>
      <c r="AT243" s="75"/>
      <c r="AU243" s="168">
        <f t="shared" si="109"/>
        <v>0</v>
      </c>
      <c r="AV243" s="169">
        <f t="shared" si="110"/>
        <v>0</v>
      </c>
      <c r="AW243" s="170">
        <f t="shared" si="111"/>
        <v>0</v>
      </c>
      <c r="AX243" s="167">
        <f t="shared" si="112"/>
        <v>0</v>
      </c>
      <c r="AY243" s="166">
        <f t="shared" si="113"/>
        <v>0</v>
      </c>
    </row>
    <row r="244" ht="15.75" customHeight="1">
      <c r="AA244" s="75"/>
      <c r="AB244" s="158" t="s">
        <v>40</v>
      </c>
      <c r="AC244" s="56">
        <f>IF('Ship Data Imperial'!E109&gt;0,'Ship Data Imperial'!E109,AS244)</f>
        <v>0</v>
      </c>
      <c r="AD244" s="168">
        <f t="shared" si="119"/>
        <v>0</v>
      </c>
      <c r="AE244" s="169">
        <f t="shared" si="120"/>
        <v>0</v>
      </c>
      <c r="AF244" s="170">
        <f t="shared" si="121"/>
        <v>0</v>
      </c>
      <c r="AG244" s="166">
        <f t="shared" si="100"/>
        <v>0</v>
      </c>
      <c r="AH244" s="167">
        <f t="shared" si="101"/>
        <v>0</v>
      </c>
      <c r="AI244" s="168">
        <f t="shared" si="102"/>
        <v>0</v>
      </c>
      <c r="AJ244" s="169">
        <f t="shared" si="103"/>
        <v>0</v>
      </c>
      <c r="AK244" s="170">
        <f t="shared" si="104"/>
        <v>0</v>
      </c>
      <c r="AL244" s="167">
        <f t="shared" si="105"/>
        <v>0</v>
      </c>
      <c r="AM244" s="166">
        <f t="shared" si="117"/>
        <v>0</v>
      </c>
      <c r="AN244" s="168">
        <f t="shared" si="118"/>
        <v>0</v>
      </c>
      <c r="AO244" s="169">
        <f t="shared" si="106"/>
        <v>0</v>
      </c>
      <c r="AP244" s="170">
        <f t="shared" si="107"/>
        <v>0</v>
      </c>
      <c r="AQ244" s="166">
        <f t="shared" si="108"/>
        <v>0</v>
      </c>
      <c r="AS244" s="56">
        <f>'Ship Data Metric'!E109*0.03280839895</f>
        <v>0</v>
      </c>
      <c r="AT244" s="75"/>
      <c r="AU244" s="168">
        <f t="shared" si="109"/>
        <v>0</v>
      </c>
      <c r="AV244" s="169">
        <f t="shared" si="110"/>
        <v>0</v>
      </c>
      <c r="AW244" s="170">
        <f t="shared" si="111"/>
        <v>0</v>
      </c>
      <c r="AX244" s="167">
        <f t="shared" si="112"/>
        <v>0</v>
      </c>
      <c r="AY244" s="166">
        <f t="shared" si="113"/>
        <v>0</v>
      </c>
    </row>
    <row r="245" ht="15.75" customHeight="1">
      <c r="AA245" s="75"/>
      <c r="AB245" s="158" t="s">
        <v>41</v>
      </c>
      <c r="AC245" s="56">
        <f>IF('Ship Data Imperial'!E110&gt;0,'Ship Data Imperial'!E110,AS245)</f>
        <v>0</v>
      </c>
      <c r="AD245" s="168">
        <f t="shared" si="119"/>
        <v>0</v>
      </c>
      <c r="AE245" s="169">
        <f t="shared" si="120"/>
        <v>0</v>
      </c>
      <c r="AF245" s="170">
        <f t="shared" si="121"/>
        <v>0</v>
      </c>
      <c r="AG245" s="166">
        <f t="shared" si="100"/>
        <v>0</v>
      </c>
      <c r="AH245" s="167">
        <f t="shared" si="101"/>
        <v>0</v>
      </c>
      <c r="AI245" s="168">
        <f t="shared" si="102"/>
        <v>0</v>
      </c>
      <c r="AJ245" s="169">
        <f t="shared" si="103"/>
        <v>0</v>
      </c>
      <c r="AK245" s="170">
        <f t="shared" si="104"/>
        <v>0</v>
      </c>
      <c r="AL245" s="167">
        <f t="shared" si="105"/>
        <v>0</v>
      </c>
      <c r="AM245" s="166">
        <f t="shared" si="117"/>
        <v>0</v>
      </c>
      <c r="AN245" s="168">
        <f t="shared" si="118"/>
        <v>0</v>
      </c>
      <c r="AO245" s="169">
        <f t="shared" si="106"/>
        <v>0</v>
      </c>
      <c r="AP245" s="170">
        <f t="shared" si="107"/>
        <v>0</v>
      </c>
      <c r="AQ245" s="166">
        <f t="shared" si="108"/>
        <v>0</v>
      </c>
      <c r="AS245" s="56">
        <f>'Ship Data Metric'!E110*0.03280839895</f>
        <v>0</v>
      </c>
      <c r="AT245" s="75"/>
      <c r="AU245" s="168">
        <f t="shared" si="109"/>
        <v>0</v>
      </c>
      <c r="AV245" s="169">
        <f t="shared" si="110"/>
        <v>0</v>
      </c>
      <c r="AW245" s="170">
        <f t="shared" si="111"/>
        <v>0</v>
      </c>
      <c r="AX245" s="167">
        <f t="shared" si="112"/>
        <v>0</v>
      </c>
      <c r="AY245" s="166">
        <f t="shared" si="113"/>
        <v>0</v>
      </c>
    </row>
    <row r="246" ht="15.75" customHeight="1">
      <c r="AA246" s="75"/>
      <c r="AB246" s="76" t="s">
        <v>27</v>
      </c>
      <c r="AC246" s="56">
        <f>IF('Ship Data Imperial'!E111&gt;0,'Ship Data Imperial'!E111,AS246)</f>
        <v>0</v>
      </c>
      <c r="AD246" s="168">
        <f t="shared" si="119"/>
        <v>0</v>
      </c>
      <c r="AE246" s="169">
        <f t="shared" si="120"/>
        <v>0</v>
      </c>
      <c r="AF246" s="170">
        <f t="shared" si="121"/>
        <v>0</v>
      </c>
      <c r="AG246" s="166">
        <f t="shared" si="100"/>
        <v>0</v>
      </c>
      <c r="AH246" s="167">
        <f t="shared" si="101"/>
        <v>0</v>
      </c>
      <c r="AI246" s="168">
        <f t="shared" si="102"/>
        <v>0</v>
      </c>
      <c r="AJ246" s="169">
        <f t="shared" si="103"/>
        <v>0</v>
      </c>
      <c r="AK246" s="170">
        <f t="shared" si="104"/>
        <v>0</v>
      </c>
      <c r="AL246" s="167">
        <f t="shared" si="105"/>
        <v>0</v>
      </c>
      <c r="AM246" s="166">
        <f t="shared" si="117"/>
        <v>0</v>
      </c>
      <c r="AN246" s="168">
        <f t="shared" si="118"/>
        <v>0</v>
      </c>
      <c r="AO246" s="169">
        <f t="shared" si="106"/>
        <v>0</v>
      </c>
      <c r="AP246" s="170">
        <f t="shared" si="107"/>
        <v>0</v>
      </c>
      <c r="AQ246" s="166">
        <f t="shared" si="108"/>
        <v>0</v>
      </c>
      <c r="AS246" s="56">
        <f>'Ship Data Metric'!E111*0.03280839895</f>
        <v>0</v>
      </c>
      <c r="AT246" s="75"/>
      <c r="AU246" s="168">
        <f t="shared" si="109"/>
        <v>0</v>
      </c>
      <c r="AV246" s="169">
        <f t="shared" si="110"/>
        <v>0</v>
      </c>
      <c r="AW246" s="170">
        <f t="shared" si="111"/>
        <v>0</v>
      </c>
      <c r="AX246" s="167">
        <f t="shared" si="112"/>
        <v>0</v>
      </c>
      <c r="AY246" s="166">
        <f t="shared" si="113"/>
        <v>0</v>
      </c>
    </row>
    <row r="247" ht="15.75" customHeight="1">
      <c r="AA247" s="75"/>
      <c r="AB247" s="76" t="s">
        <v>28</v>
      </c>
      <c r="AC247" s="56">
        <f>IF('Ship Data Imperial'!E112&gt;0,'Ship Data Imperial'!E112,AS247)</f>
        <v>0</v>
      </c>
      <c r="AD247" s="168">
        <f t="shared" si="119"/>
        <v>0</v>
      </c>
      <c r="AE247" s="169">
        <f t="shared" si="120"/>
        <v>0</v>
      </c>
      <c r="AF247" s="170">
        <f t="shared" si="121"/>
        <v>0</v>
      </c>
      <c r="AG247" s="166">
        <f t="shared" si="100"/>
        <v>0</v>
      </c>
      <c r="AH247" s="167">
        <f t="shared" si="101"/>
        <v>0</v>
      </c>
      <c r="AI247" s="168">
        <f t="shared" si="102"/>
        <v>0</v>
      </c>
      <c r="AJ247" s="169">
        <f t="shared" si="103"/>
        <v>0</v>
      </c>
      <c r="AK247" s="170">
        <f t="shared" si="104"/>
        <v>0</v>
      </c>
      <c r="AL247" s="167">
        <f t="shared" si="105"/>
        <v>0</v>
      </c>
      <c r="AM247" s="166">
        <f t="shared" si="117"/>
        <v>0</v>
      </c>
      <c r="AN247" s="168">
        <f t="shared" si="118"/>
        <v>0</v>
      </c>
      <c r="AO247" s="169">
        <f t="shared" si="106"/>
        <v>0</v>
      </c>
      <c r="AP247" s="170">
        <f t="shared" si="107"/>
        <v>0</v>
      </c>
      <c r="AQ247" s="166">
        <f t="shared" si="108"/>
        <v>0</v>
      </c>
      <c r="AS247" s="56">
        <f>'Ship Data Metric'!E112*0.03280839895</f>
        <v>0</v>
      </c>
      <c r="AT247" s="75"/>
      <c r="AU247" s="168">
        <f t="shared" si="109"/>
        <v>0</v>
      </c>
      <c r="AV247" s="169">
        <f t="shared" si="110"/>
        <v>0</v>
      </c>
      <c r="AW247" s="170">
        <f t="shared" si="111"/>
        <v>0</v>
      </c>
      <c r="AX247" s="167">
        <f t="shared" si="112"/>
        <v>0</v>
      </c>
      <c r="AY247" s="166">
        <f t="shared" si="113"/>
        <v>0</v>
      </c>
    </row>
    <row r="248" ht="15.75" customHeight="1">
      <c r="AA248" s="75"/>
      <c r="AB248" s="76" t="s">
        <v>29</v>
      </c>
      <c r="AC248" s="56">
        <f>IF('Ship Data Imperial'!E113&gt;0,'Ship Data Imperial'!E113,AS248)</f>
        <v>0</v>
      </c>
      <c r="AD248" s="168">
        <f t="shared" si="119"/>
        <v>0</v>
      </c>
      <c r="AE248" s="169">
        <f t="shared" si="120"/>
        <v>0</v>
      </c>
      <c r="AF248" s="170">
        <f t="shared" si="121"/>
        <v>0</v>
      </c>
      <c r="AG248" s="166">
        <f t="shared" si="100"/>
        <v>0</v>
      </c>
      <c r="AH248" s="167">
        <f t="shared" si="101"/>
        <v>0</v>
      </c>
      <c r="AI248" s="168">
        <f t="shared" si="102"/>
        <v>0</v>
      </c>
      <c r="AJ248" s="169">
        <f t="shared" si="103"/>
        <v>0</v>
      </c>
      <c r="AK248" s="170">
        <f t="shared" si="104"/>
        <v>0</v>
      </c>
      <c r="AL248" s="167">
        <f t="shared" si="105"/>
        <v>0</v>
      </c>
      <c r="AM248" s="166">
        <f t="shared" si="117"/>
        <v>0</v>
      </c>
      <c r="AN248" s="168">
        <f t="shared" si="118"/>
        <v>0</v>
      </c>
      <c r="AO248" s="169">
        <f t="shared" si="106"/>
        <v>0</v>
      </c>
      <c r="AP248" s="170">
        <f t="shared" si="107"/>
        <v>0</v>
      </c>
      <c r="AQ248" s="166">
        <f t="shared" si="108"/>
        <v>0</v>
      </c>
      <c r="AS248" s="56">
        <f>'Ship Data Metric'!E113*0.03280839895</f>
        <v>0</v>
      </c>
      <c r="AT248" s="75"/>
      <c r="AU248" s="168">
        <f t="shared" si="109"/>
        <v>0</v>
      </c>
      <c r="AV248" s="169">
        <f t="shared" si="110"/>
        <v>0</v>
      </c>
      <c r="AW248" s="170">
        <f t="shared" si="111"/>
        <v>0</v>
      </c>
      <c r="AX248" s="167">
        <f t="shared" si="112"/>
        <v>0</v>
      </c>
      <c r="AY248" s="166">
        <f t="shared" si="113"/>
        <v>0</v>
      </c>
    </row>
    <row r="249" ht="15.75" customHeight="1">
      <c r="AA249" s="75"/>
      <c r="AB249" s="158" t="s">
        <v>56</v>
      </c>
      <c r="AC249" s="56">
        <f>IF('Ship Data Imperial'!E114&gt;0,'Ship Data Imperial'!E114,AS249)</f>
        <v>0</v>
      </c>
      <c r="AD249" s="168">
        <f t="shared" si="119"/>
        <v>0</v>
      </c>
      <c r="AE249" s="169">
        <f t="shared" si="120"/>
        <v>0</v>
      </c>
      <c r="AF249" s="170">
        <f t="shared" si="121"/>
        <v>0</v>
      </c>
      <c r="AG249" s="166">
        <f t="shared" si="100"/>
        <v>0</v>
      </c>
      <c r="AH249" s="167">
        <f t="shared" si="101"/>
        <v>0</v>
      </c>
      <c r="AI249" s="168">
        <f t="shared" si="102"/>
        <v>0</v>
      </c>
      <c r="AJ249" s="169">
        <f t="shared" si="103"/>
        <v>0</v>
      </c>
      <c r="AK249" s="170">
        <f t="shared" si="104"/>
        <v>0</v>
      </c>
      <c r="AL249" s="167">
        <f t="shared" si="105"/>
        <v>0</v>
      </c>
      <c r="AM249" s="166">
        <f t="shared" si="117"/>
        <v>0</v>
      </c>
      <c r="AN249" s="168">
        <f t="shared" si="118"/>
        <v>0</v>
      </c>
      <c r="AO249" s="169">
        <f t="shared" si="106"/>
        <v>0</v>
      </c>
      <c r="AP249" s="170">
        <f t="shared" si="107"/>
        <v>0</v>
      </c>
      <c r="AQ249" s="166">
        <f t="shared" si="108"/>
        <v>0</v>
      </c>
      <c r="AS249" s="56">
        <f>'Ship Data Metric'!E114*0.03280839895</f>
        <v>0</v>
      </c>
      <c r="AT249" s="75"/>
      <c r="AU249" s="168">
        <f t="shared" si="109"/>
        <v>0</v>
      </c>
      <c r="AV249" s="169">
        <f t="shared" si="110"/>
        <v>0</v>
      </c>
      <c r="AW249" s="170">
        <f t="shared" si="111"/>
        <v>0</v>
      </c>
      <c r="AX249" s="167">
        <f t="shared" si="112"/>
        <v>0</v>
      </c>
      <c r="AY249" s="166">
        <f t="shared" si="113"/>
        <v>0</v>
      </c>
    </row>
    <row r="250" ht="15.75" customHeight="1">
      <c r="AA250" s="75" t="s">
        <v>53</v>
      </c>
      <c r="AB250" s="76" t="s">
        <v>24</v>
      </c>
      <c r="AC250" s="56">
        <f>IF('Ship Data Imperial'!E115&gt;0,'Ship Data Imperial'!E115,AS250)</f>
        <v>0</v>
      </c>
      <c r="AD250" s="168">
        <f t="shared" si="119"/>
        <v>0</v>
      </c>
      <c r="AE250" s="169">
        <f t="shared" si="120"/>
        <v>0</v>
      </c>
      <c r="AF250" s="170">
        <f t="shared" si="121"/>
        <v>0</v>
      </c>
      <c r="AG250" s="166">
        <f t="shared" si="100"/>
        <v>0</v>
      </c>
      <c r="AH250" s="167">
        <f t="shared" si="101"/>
        <v>0</v>
      </c>
      <c r="AI250" s="168">
        <f t="shared" si="102"/>
        <v>0</v>
      </c>
      <c r="AJ250" s="169">
        <f t="shared" si="103"/>
        <v>0</v>
      </c>
      <c r="AK250" s="170">
        <f t="shared" si="104"/>
        <v>0</v>
      </c>
      <c r="AL250" s="167">
        <f t="shared" si="105"/>
        <v>0</v>
      </c>
      <c r="AM250" s="166">
        <f t="shared" si="117"/>
        <v>0</v>
      </c>
      <c r="AN250" s="168">
        <f t="shared" si="118"/>
        <v>0</v>
      </c>
      <c r="AO250" s="169">
        <f t="shared" si="106"/>
        <v>0</v>
      </c>
      <c r="AP250" s="170">
        <f t="shared" si="107"/>
        <v>0</v>
      </c>
      <c r="AQ250" s="166">
        <f t="shared" si="108"/>
        <v>0</v>
      </c>
      <c r="AS250" s="56">
        <f>'Ship Data Metric'!E115*0.03280839895</f>
        <v>0</v>
      </c>
      <c r="AT250" s="75" t="s">
        <v>53</v>
      </c>
      <c r="AU250" s="168">
        <f t="shared" si="109"/>
        <v>0</v>
      </c>
      <c r="AV250" s="169">
        <f t="shared" si="110"/>
        <v>0</v>
      </c>
      <c r="AW250" s="170">
        <f t="shared" si="111"/>
        <v>0</v>
      </c>
      <c r="AX250" s="167">
        <f t="shared" si="112"/>
        <v>0</v>
      </c>
      <c r="AY250" s="166">
        <f t="shared" si="113"/>
        <v>0</v>
      </c>
    </row>
    <row r="251" ht="15.75" customHeight="1">
      <c r="AA251" s="75"/>
      <c r="AB251" s="76" t="s">
        <v>25</v>
      </c>
      <c r="AC251" s="56">
        <f>IF('Ship Data Imperial'!E116&gt;0,'Ship Data Imperial'!E116,AS251)</f>
        <v>0</v>
      </c>
      <c r="AD251" s="168">
        <f t="shared" si="119"/>
        <v>0</v>
      </c>
      <c r="AE251" s="169">
        <f t="shared" si="120"/>
        <v>0</v>
      </c>
      <c r="AF251" s="170">
        <f t="shared" si="121"/>
        <v>0</v>
      </c>
      <c r="AG251" s="166">
        <f t="shared" si="100"/>
        <v>0</v>
      </c>
      <c r="AH251" s="167">
        <f t="shared" si="101"/>
        <v>0</v>
      </c>
      <c r="AI251" s="168">
        <f t="shared" si="102"/>
        <v>0</v>
      </c>
      <c r="AJ251" s="169">
        <f t="shared" si="103"/>
        <v>0</v>
      </c>
      <c r="AK251" s="170">
        <f t="shared" si="104"/>
        <v>0</v>
      </c>
      <c r="AL251" s="167">
        <f t="shared" si="105"/>
        <v>0</v>
      </c>
      <c r="AM251" s="166">
        <f t="shared" si="117"/>
        <v>0</v>
      </c>
      <c r="AN251" s="168">
        <f t="shared" si="118"/>
        <v>0</v>
      </c>
      <c r="AO251" s="169">
        <f t="shared" si="106"/>
        <v>0</v>
      </c>
      <c r="AP251" s="170">
        <f t="shared" si="107"/>
        <v>0</v>
      </c>
      <c r="AQ251" s="166">
        <f t="shared" si="108"/>
        <v>0</v>
      </c>
      <c r="AS251" s="56">
        <f>'Ship Data Metric'!E116*0.03280839895</f>
        <v>0</v>
      </c>
      <c r="AT251" s="75"/>
      <c r="AU251" s="168">
        <f t="shared" si="109"/>
        <v>0</v>
      </c>
      <c r="AV251" s="169">
        <f t="shared" si="110"/>
        <v>0</v>
      </c>
      <c r="AW251" s="170">
        <f t="shared" si="111"/>
        <v>0</v>
      </c>
      <c r="AX251" s="167">
        <f t="shared" si="112"/>
        <v>0</v>
      </c>
      <c r="AY251" s="166">
        <f t="shared" si="113"/>
        <v>0</v>
      </c>
    </row>
    <row r="252" ht="15.75" customHeight="1">
      <c r="AA252" s="75"/>
      <c r="AB252" s="76" t="s">
        <v>26</v>
      </c>
      <c r="AC252" s="56">
        <f>IF('Ship Data Imperial'!E117&gt;0,'Ship Data Imperial'!E117,AS252)</f>
        <v>0</v>
      </c>
      <c r="AD252" s="168">
        <f t="shared" si="119"/>
        <v>0</v>
      </c>
      <c r="AE252" s="169">
        <f t="shared" si="120"/>
        <v>0</v>
      </c>
      <c r="AF252" s="170">
        <f t="shared" si="121"/>
        <v>0</v>
      </c>
      <c r="AG252" s="166">
        <f t="shared" si="100"/>
        <v>0</v>
      </c>
      <c r="AH252" s="167">
        <f t="shared" si="101"/>
        <v>0</v>
      </c>
      <c r="AI252" s="168">
        <f t="shared" si="102"/>
        <v>0</v>
      </c>
      <c r="AJ252" s="169">
        <f t="shared" si="103"/>
        <v>0</v>
      </c>
      <c r="AK252" s="170">
        <f t="shared" si="104"/>
        <v>0</v>
      </c>
      <c r="AL252" s="167">
        <f t="shared" si="105"/>
        <v>0</v>
      </c>
      <c r="AM252" s="166">
        <f t="shared" si="117"/>
        <v>0</v>
      </c>
      <c r="AN252" s="168">
        <f t="shared" si="118"/>
        <v>0</v>
      </c>
      <c r="AO252" s="169">
        <f t="shared" si="106"/>
        <v>0</v>
      </c>
      <c r="AP252" s="170">
        <f t="shared" si="107"/>
        <v>0</v>
      </c>
      <c r="AQ252" s="166">
        <f t="shared" si="108"/>
        <v>0</v>
      </c>
      <c r="AS252" s="56">
        <f>'Ship Data Metric'!E117*0.03280839895</f>
        <v>0</v>
      </c>
      <c r="AT252" s="75"/>
      <c r="AU252" s="168">
        <f t="shared" si="109"/>
        <v>0</v>
      </c>
      <c r="AV252" s="169">
        <f t="shared" si="110"/>
        <v>0</v>
      </c>
      <c r="AW252" s="170">
        <f t="shared" si="111"/>
        <v>0</v>
      </c>
      <c r="AX252" s="167">
        <f t="shared" si="112"/>
        <v>0</v>
      </c>
      <c r="AY252" s="166">
        <f t="shared" si="113"/>
        <v>0</v>
      </c>
    </row>
    <row r="253" ht="15.75" customHeight="1">
      <c r="AA253" s="75"/>
      <c r="AB253" s="76" t="s">
        <v>27</v>
      </c>
      <c r="AC253" s="56">
        <f>IF('Ship Data Imperial'!E118&gt;0,'Ship Data Imperial'!E118,AS253)</f>
        <v>0</v>
      </c>
      <c r="AD253" s="168">
        <f t="shared" si="119"/>
        <v>0</v>
      </c>
      <c r="AE253" s="169">
        <f t="shared" si="120"/>
        <v>0</v>
      </c>
      <c r="AF253" s="170">
        <f t="shared" si="121"/>
        <v>0</v>
      </c>
      <c r="AG253" s="166">
        <f t="shared" si="100"/>
        <v>0</v>
      </c>
      <c r="AH253" s="167">
        <f t="shared" si="101"/>
        <v>0</v>
      </c>
      <c r="AI253" s="168">
        <f t="shared" si="102"/>
        <v>0</v>
      </c>
      <c r="AJ253" s="169">
        <f t="shared" si="103"/>
        <v>0</v>
      </c>
      <c r="AK253" s="170">
        <f t="shared" si="104"/>
        <v>0</v>
      </c>
      <c r="AL253" s="167">
        <f t="shared" si="105"/>
        <v>0</v>
      </c>
      <c r="AM253" s="166">
        <f t="shared" si="117"/>
        <v>0</v>
      </c>
      <c r="AN253" s="168">
        <f t="shared" si="118"/>
        <v>0</v>
      </c>
      <c r="AO253" s="169">
        <f t="shared" si="106"/>
        <v>0</v>
      </c>
      <c r="AP253" s="170">
        <f t="shared" si="107"/>
        <v>0</v>
      </c>
      <c r="AQ253" s="166">
        <f t="shared" si="108"/>
        <v>0</v>
      </c>
      <c r="AS253" s="56">
        <f>'Ship Data Metric'!E118*0.03280839895</f>
        <v>0</v>
      </c>
      <c r="AT253" s="75"/>
      <c r="AU253" s="168">
        <f t="shared" si="109"/>
        <v>0</v>
      </c>
      <c r="AV253" s="169">
        <f t="shared" si="110"/>
        <v>0</v>
      </c>
      <c r="AW253" s="170">
        <f t="shared" si="111"/>
        <v>0</v>
      </c>
      <c r="AX253" s="167">
        <f t="shared" si="112"/>
        <v>0</v>
      </c>
      <c r="AY253" s="166">
        <f t="shared" si="113"/>
        <v>0</v>
      </c>
    </row>
    <row r="254" ht="15.75" customHeight="1">
      <c r="AA254" s="75"/>
      <c r="AB254" s="76" t="s">
        <v>28</v>
      </c>
      <c r="AC254" s="56">
        <f>IF('Ship Data Imperial'!E119&gt;0,'Ship Data Imperial'!E119,AS254)</f>
        <v>0</v>
      </c>
      <c r="AD254" s="168">
        <f t="shared" si="119"/>
        <v>0</v>
      </c>
      <c r="AE254" s="169">
        <f t="shared" si="120"/>
        <v>0</v>
      </c>
      <c r="AF254" s="170">
        <f t="shared" si="121"/>
        <v>0</v>
      </c>
      <c r="AG254" s="166">
        <f t="shared" si="100"/>
        <v>0</v>
      </c>
      <c r="AH254" s="167">
        <f t="shared" si="101"/>
        <v>0</v>
      </c>
      <c r="AI254" s="168">
        <f t="shared" si="102"/>
        <v>0</v>
      </c>
      <c r="AJ254" s="169">
        <f t="shared" si="103"/>
        <v>0</v>
      </c>
      <c r="AK254" s="170">
        <f t="shared" si="104"/>
        <v>0</v>
      </c>
      <c r="AL254" s="167">
        <f t="shared" si="105"/>
        <v>0</v>
      </c>
      <c r="AM254" s="166">
        <f t="shared" si="117"/>
        <v>0</v>
      </c>
      <c r="AN254" s="168">
        <f t="shared" si="118"/>
        <v>0</v>
      </c>
      <c r="AO254" s="169">
        <f t="shared" si="106"/>
        <v>0</v>
      </c>
      <c r="AP254" s="170">
        <f t="shared" si="107"/>
        <v>0</v>
      </c>
      <c r="AQ254" s="166">
        <f t="shared" si="108"/>
        <v>0</v>
      </c>
      <c r="AS254" s="56">
        <f>'Ship Data Metric'!E119*0.03280839895</f>
        <v>0</v>
      </c>
      <c r="AT254" s="75"/>
      <c r="AU254" s="168">
        <f t="shared" si="109"/>
        <v>0</v>
      </c>
      <c r="AV254" s="169">
        <f t="shared" si="110"/>
        <v>0</v>
      </c>
      <c r="AW254" s="170">
        <f t="shared" si="111"/>
        <v>0</v>
      </c>
      <c r="AX254" s="167">
        <f t="shared" si="112"/>
        <v>0</v>
      </c>
      <c r="AY254" s="166">
        <f t="shared" si="113"/>
        <v>0</v>
      </c>
    </row>
    <row r="255" ht="15.75" customHeight="1">
      <c r="AA255" s="75"/>
      <c r="AB255" s="76" t="s">
        <v>29</v>
      </c>
      <c r="AC255" s="56">
        <f>IF('Ship Data Imperial'!E120&gt;0,'Ship Data Imperial'!E120,AS255)</f>
        <v>0</v>
      </c>
      <c r="AD255" s="168">
        <f t="shared" si="119"/>
        <v>0</v>
      </c>
      <c r="AE255" s="169">
        <f t="shared" si="120"/>
        <v>0</v>
      </c>
      <c r="AF255" s="170">
        <f t="shared" si="121"/>
        <v>0</v>
      </c>
      <c r="AG255" s="166">
        <f t="shared" si="100"/>
        <v>0</v>
      </c>
      <c r="AH255" s="167">
        <f t="shared" si="101"/>
        <v>0</v>
      </c>
      <c r="AI255" s="168">
        <f t="shared" si="102"/>
        <v>0</v>
      </c>
      <c r="AJ255" s="169">
        <f t="shared" si="103"/>
        <v>0</v>
      </c>
      <c r="AK255" s="170">
        <f t="shared" si="104"/>
        <v>0</v>
      </c>
      <c r="AL255" s="167">
        <f t="shared" si="105"/>
        <v>0</v>
      </c>
      <c r="AM255" s="166">
        <f t="shared" si="117"/>
        <v>0</v>
      </c>
      <c r="AN255" s="168">
        <f t="shared" si="118"/>
        <v>0</v>
      </c>
      <c r="AO255" s="169">
        <f t="shared" si="106"/>
        <v>0</v>
      </c>
      <c r="AP255" s="170">
        <f t="shared" si="107"/>
        <v>0</v>
      </c>
      <c r="AQ255" s="166">
        <f t="shared" si="108"/>
        <v>0</v>
      </c>
      <c r="AS255" s="56">
        <f>'Ship Data Metric'!E120*0.03280839895</f>
        <v>0</v>
      </c>
      <c r="AT255" s="75"/>
      <c r="AU255" s="168">
        <f t="shared" si="109"/>
        <v>0</v>
      </c>
      <c r="AV255" s="169">
        <f t="shared" si="110"/>
        <v>0</v>
      </c>
      <c r="AW255" s="170">
        <f t="shared" si="111"/>
        <v>0</v>
      </c>
      <c r="AX255" s="167">
        <f t="shared" si="112"/>
        <v>0</v>
      </c>
      <c r="AY255" s="166">
        <f t="shared" si="113"/>
        <v>0</v>
      </c>
    </row>
    <row r="256" ht="15.75" customHeight="1">
      <c r="AA256" s="75"/>
      <c r="AB256" s="158" t="s">
        <v>54</v>
      </c>
      <c r="AC256" s="56">
        <f>IF('Ship Data Imperial'!E121&gt;0,'Ship Data Imperial'!E121,AS256)</f>
        <v>0</v>
      </c>
      <c r="AD256" s="168">
        <f t="shared" si="119"/>
        <v>0</v>
      </c>
      <c r="AE256" s="169">
        <f t="shared" si="120"/>
        <v>0</v>
      </c>
      <c r="AF256" s="170">
        <f t="shared" si="121"/>
        <v>0</v>
      </c>
      <c r="AG256" s="166">
        <f t="shared" si="100"/>
        <v>0</v>
      </c>
      <c r="AH256" s="167">
        <f t="shared" si="101"/>
        <v>0</v>
      </c>
      <c r="AI256" s="168">
        <f t="shared" si="102"/>
        <v>0</v>
      </c>
      <c r="AJ256" s="169">
        <f t="shared" si="103"/>
        <v>0</v>
      </c>
      <c r="AK256" s="170">
        <f t="shared" si="104"/>
        <v>0</v>
      </c>
      <c r="AL256" s="167">
        <f t="shared" si="105"/>
        <v>0</v>
      </c>
      <c r="AM256" s="166">
        <f t="shared" si="117"/>
        <v>0</v>
      </c>
      <c r="AN256" s="168">
        <f t="shared" si="118"/>
        <v>0</v>
      </c>
      <c r="AO256" s="169">
        <f t="shared" si="106"/>
        <v>0</v>
      </c>
      <c r="AP256" s="170">
        <f t="shared" si="107"/>
        <v>0</v>
      </c>
      <c r="AQ256" s="166">
        <f t="shared" si="108"/>
        <v>0</v>
      </c>
      <c r="AS256" s="56">
        <f>'Ship Data Metric'!E121*0.03280839895</f>
        <v>0</v>
      </c>
      <c r="AT256" s="75"/>
      <c r="AU256" s="168">
        <f t="shared" si="109"/>
        <v>0</v>
      </c>
      <c r="AV256" s="169">
        <f t="shared" si="110"/>
        <v>0</v>
      </c>
      <c r="AW256" s="170">
        <f t="shared" si="111"/>
        <v>0</v>
      </c>
      <c r="AX256" s="167">
        <f t="shared" si="112"/>
        <v>0</v>
      </c>
      <c r="AY256" s="166">
        <f t="shared" si="113"/>
        <v>0</v>
      </c>
    </row>
    <row r="257" ht="15.75" customHeight="1">
      <c r="AA257" s="75" t="s">
        <v>115</v>
      </c>
      <c r="AB257" s="158" t="s">
        <v>56</v>
      </c>
      <c r="AC257" s="56">
        <f>IF('Ship Data Imperial'!E122&gt;0,'Ship Data Imperial'!E122,AS257)</f>
        <v>0</v>
      </c>
      <c r="AD257" s="168">
        <f t="shared" si="119"/>
        <v>0</v>
      </c>
      <c r="AE257" s="169">
        <f t="shared" si="120"/>
        <v>0</v>
      </c>
      <c r="AF257" s="170">
        <f t="shared" si="121"/>
        <v>0</v>
      </c>
      <c r="AG257" s="166">
        <f t="shared" si="100"/>
        <v>0</v>
      </c>
      <c r="AH257" s="167">
        <f t="shared" si="101"/>
        <v>0</v>
      </c>
      <c r="AI257" s="168">
        <f t="shared" si="102"/>
        <v>0</v>
      </c>
      <c r="AJ257" s="169">
        <f t="shared" si="103"/>
        <v>0</v>
      </c>
      <c r="AK257" s="170">
        <f t="shared" si="104"/>
        <v>0</v>
      </c>
      <c r="AL257" s="167">
        <f t="shared" si="105"/>
        <v>0</v>
      </c>
      <c r="AM257" s="166">
        <f t="shared" si="117"/>
        <v>0</v>
      </c>
      <c r="AN257" s="168">
        <f t="shared" si="118"/>
        <v>0</v>
      </c>
      <c r="AO257" s="169">
        <f t="shared" si="106"/>
        <v>0</v>
      </c>
      <c r="AP257" s="170">
        <f t="shared" si="107"/>
        <v>0</v>
      </c>
      <c r="AQ257" s="166">
        <f t="shared" si="108"/>
        <v>0</v>
      </c>
      <c r="AS257" s="56">
        <f>'Ship Data Metric'!E122*0.03280839895</f>
        <v>0</v>
      </c>
      <c r="AT257" s="75" t="s">
        <v>115</v>
      </c>
      <c r="AU257" s="168">
        <f t="shared" si="109"/>
        <v>0</v>
      </c>
      <c r="AV257" s="169">
        <f t="shared" si="110"/>
        <v>0</v>
      </c>
      <c r="AW257" s="170">
        <f t="shared" si="111"/>
        <v>0</v>
      </c>
      <c r="AX257" s="167">
        <f t="shared" si="112"/>
        <v>0</v>
      </c>
      <c r="AY257" s="166">
        <f t="shared" si="113"/>
        <v>0</v>
      </c>
    </row>
    <row r="258" ht="15.75" customHeight="1">
      <c r="AA258" s="75" t="s">
        <v>57</v>
      </c>
      <c r="AB258" s="76" t="s">
        <v>24</v>
      </c>
      <c r="AC258" s="56">
        <f>IF('Ship Data Imperial'!E123&gt;0,'Ship Data Imperial'!E123,AS258)</f>
        <v>0</v>
      </c>
      <c r="AD258" s="168">
        <f t="shared" si="119"/>
        <v>0</v>
      </c>
      <c r="AE258" s="169">
        <f t="shared" si="120"/>
        <v>0</v>
      </c>
      <c r="AF258" s="170">
        <f t="shared" si="121"/>
        <v>0</v>
      </c>
      <c r="AG258" s="166">
        <f t="shared" si="100"/>
        <v>0</v>
      </c>
      <c r="AH258" s="167">
        <f t="shared" si="101"/>
        <v>0</v>
      </c>
      <c r="AI258" s="168">
        <f t="shared" si="102"/>
        <v>0</v>
      </c>
      <c r="AJ258" s="169">
        <f t="shared" si="103"/>
        <v>0</v>
      </c>
      <c r="AK258" s="170">
        <f t="shared" si="104"/>
        <v>0</v>
      </c>
      <c r="AL258" s="167">
        <f t="shared" si="105"/>
        <v>0</v>
      </c>
      <c r="AM258" s="166">
        <f t="shared" si="117"/>
        <v>0</v>
      </c>
      <c r="AN258" s="168">
        <f t="shared" si="118"/>
        <v>0</v>
      </c>
      <c r="AO258" s="169">
        <f t="shared" si="106"/>
        <v>0</v>
      </c>
      <c r="AP258" s="170">
        <f t="shared" si="107"/>
        <v>0</v>
      </c>
      <c r="AQ258" s="166">
        <f t="shared" si="108"/>
        <v>0</v>
      </c>
      <c r="AS258" s="56">
        <f>'Ship Data Metric'!E123*0.03280839895</f>
        <v>0</v>
      </c>
      <c r="AT258" s="75" t="s">
        <v>57</v>
      </c>
      <c r="AU258" s="168">
        <f t="shared" si="109"/>
        <v>0</v>
      </c>
      <c r="AV258" s="169">
        <f t="shared" si="110"/>
        <v>0</v>
      </c>
      <c r="AW258" s="170">
        <f t="shared" si="111"/>
        <v>0</v>
      </c>
      <c r="AX258" s="167">
        <f t="shared" si="112"/>
        <v>0</v>
      </c>
      <c r="AY258" s="166">
        <f t="shared" si="113"/>
        <v>0</v>
      </c>
    </row>
    <row r="259" ht="15.75" customHeight="1">
      <c r="AA259" s="75"/>
      <c r="AB259" s="76" t="s">
        <v>25</v>
      </c>
      <c r="AC259" s="56">
        <f>IF('Ship Data Imperial'!E124&gt;0,'Ship Data Imperial'!E124,AS259)</f>
        <v>0</v>
      </c>
      <c r="AD259" s="168">
        <f t="shared" si="119"/>
        <v>0</v>
      </c>
      <c r="AE259" s="169">
        <f t="shared" si="120"/>
        <v>0</v>
      </c>
      <c r="AF259" s="170">
        <f t="shared" si="121"/>
        <v>0</v>
      </c>
      <c r="AG259" s="166">
        <f t="shared" si="100"/>
        <v>0</v>
      </c>
      <c r="AH259" s="167">
        <f t="shared" si="101"/>
        <v>0</v>
      </c>
      <c r="AI259" s="168">
        <f t="shared" si="102"/>
        <v>0</v>
      </c>
      <c r="AJ259" s="169">
        <f t="shared" si="103"/>
        <v>0</v>
      </c>
      <c r="AK259" s="170">
        <f t="shared" si="104"/>
        <v>0</v>
      </c>
      <c r="AL259" s="167">
        <f t="shared" si="105"/>
        <v>0</v>
      </c>
      <c r="AM259" s="166">
        <f t="shared" si="117"/>
        <v>0</v>
      </c>
      <c r="AN259" s="168">
        <f t="shared" si="118"/>
        <v>0</v>
      </c>
      <c r="AO259" s="169">
        <f t="shared" si="106"/>
        <v>0</v>
      </c>
      <c r="AP259" s="170">
        <f t="shared" si="107"/>
        <v>0</v>
      </c>
      <c r="AQ259" s="166">
        <f t="shared" si="108"/>
        <v>0</v>
      </c>
      <c r="AS259" s="56">
        <f>'Ship Data Metric'!E124*0.03280839895</f>
        <v>0</v>
      </c>
      <c r="AT259" s="75"/>
      <c r="AU259" s="168">
        <f t="shared" si="109"/>
        <v>0</v>
      </c>
      <c r="AV259" s="169">
        <f t="shared" si="110"/>
        <v>0</v>
      </c>
      <c r="AW259" s="170">
        <f t="shared" si="111"/>
        <v>0</v>
      </c>
      <c r="AX259" s="167">
        <f t="shared" si="112"/>
        <v>0</v>
      </c>
      <c r="AY259" s="166">
        <f t="shared" si="113"/>
        <v>0</v>
      </c>
    </row>
    <row r="260" ht="15.75" customHeight="1">
      <c r="AA260" s="75"/>
      <c r="AB260" s="76" t="s">
        <v>26</v>
      </c>
      <c r="AC260" s="56">
        <f>IF('Ship Data Imperial'!E125&gt;0,'Ship Data Imperial'!E125,AS260)</f>
        <v>0</v>
      </c>
      <c r="AD260" s="168">
        <f t="shared" si="119"/>
        <v>0</v>
      </c>
      <c r="AE260" s="169">
        <f t="shared" si="120"/>
        <v>0</v>
      </c>
      <c r="AF260" s="170">
        <f t="shared" si="121"/>
        <v>0</v>
      </c>
      <c r="AG260" s="166">
        <f t="shared" si="100"/>
        <v>0</v>
      </c>
      <c r="AH260" s="167">
        <f t="shared" si="101"/>
        <v>0</v>
      </c>
      <c r="AI260" s="168">
        <f t="shared" si="102"/>
        <v>0</v>
      </c>
      <c r="AJ260" s="169">
        <f t="shared" si="103"/>
        <v>0</v>
      </c>
      <c r="AK260" s="170">
        <f t="shared" si="104"/>
        <v>0</v>
      </c>
      <c r="AL260" s="167">
        <f t="shared" si="105"/>
        <v>0</v>
      </c>
      <c r="AM260" s="166">
        <f t="shared" si="117"/>
        <v>0</v>
      </c>
      <c r="AN260" s="168">
        <f t="shared" si="118"/>
        <v>0</v>
      </c>
      <c r="AO260" s="169">
        <f t="shared" si="106"/>
        <v>0</v>
      </c>
      <c r="AP260" s="170">
        <f t="shared" si="107"/>
        <v>0</v>
      </c>
      <c r="AQ260" s="166">
        <f t="shared" si="108"/>
        <v>0</v>
      </c>
      <c r="AS260" s="56">
        <f>'Ship Data Metric'!E125*0.03280839895</f>
        <v>0</v>
      </c>
      <c r="AT260" s="75"/>
      <c r="AU260" s="168">
        <f t="shared" si="109"/>
        <v>0</v>
      </c>
      <c r="AV260" s="169">
        <f t="shared" si="110"/>
        <v>0</v>
      </c>
      <c r="AW260" s="170">
        <f t="shared" si="111"/>
        <v>0</v>
      </c>
      <c r="AX260" s="167">
        <f t="shared" si="112"/>
        <v>0</v>
      </c>
      <c r="AY260" s="166">
        <f t="shared" si="113"/>
        <v>0</v>
      </c>
    </row>
    <row r="261" ht="15.75" customHeight="1">
      <c r="AA261" s="75"/>
      <c r="AB261" s="76" t="s">
        <v>27</v>
      </c>
      <c r="AC261" s="56">
        <f>IF('Ship Data Imperial'!E126&gt;0,'Ship Data Imperial'!E126,AS261)</f>
        <v>0</v>
      </c>
      <c r="AD261" s="168">
        <f t="shared" si="119"/>
        <v>0</v>
      </c>
      <c r="AE261" s="169">
        <f t="shared" si="120"/>
        <v>0</v>
      </c>
      <c r="AF261" s="170">
        <f t="shared" si="121"/>
        <v>0</v>
      </c>
      <c r="AG261" s="166">
        <f t="shared" si="100"/>
        <v>0</v>
      </c>
      <c r="AH261" s="167">
        <f t="shared" si="101"/>
        <v>0</v>
      </c>
      <c r="AI261" s="168">
        <f t="shared" si="102"/>
        <v>0</v>
      </c>
      <c r="AJ261" s="169">
        <f t="shared" si="103"/>
        <v>0</v>
      </c>
      <c r="AK261" s="170">
        <f t="shared" si="104"/>
        <v>0</v>
      </c>
      <c r="AL261" s="167">
        <f t="shared" si="105"/>
        <v>0</v>
      </c>
      <c r="AM261" s="166">
        <f t="shared" si="117"/>
        <v>0</v>
      </c>
      <c r="AN261" s="168">
        <f t="shared" si="118"/>
        <v>0</v>
      </c>
      <c r="AO261" s="169">
        <f t="shared" si="106"/>
        <v>0</v>
      </c>
      <c r="AP261" s="170">
        <f t="shared" si="107"/>
        <v>0</v>
      </c>
      <c r="AQ261" s="166">
        <f t="shared" si="108"/>
        <v>0</v>
      </c>
      <c r="AS261" s="56">
        <f>'Ship Data Metric'!E126*0.03280839895</f>
        <v>0</v>
      </c>
      <c r="AT261" s="75"/>
      <c r="AU261" s="168">
        <f t="shared" si="109"/>
        <v>0</v>
      </c>
      <c r="AV261" s="169">
        <f t="shared" si="110"/>
        <v>0</v>
      </c>
      <c r="AW261" s="170">
        <f t="shared" si="111"/>
        <v>0</v>
      </c>
      <c r="AX261" s="167">
        <f t="shared" si="112"/>
        <v>0</v>
      </c>
      <c r="AY261" s="166">
        <f t="shared" si="113"/>
        <v>0</v>
      </c>
    </row>
    <row r="262" ht="15.75" customHeight="1">
      <c r="AA262" s="75"/>
      <c r="AB262" s="76" t="s">
        <v>28</v>
      </c>
      <c r="AC262" s="56">
        <f>IF('Ship Data Imperial'!E127&gt;0,'Ship Data Imperial'!E127,AS262)</f>
        <v>0</v>
      </c>
      <c r="AD262" s="168">
        <f t="shared" si="119"/>
        <v>0</v>
      </c>
      <c r="AE262" s="169">
        <f t="shared" si="120"/>
        <v>0</v>
      </c>
      <c r="AF262" s="170">
        <f t="shared" si="121"/>
        <v>0</v>
      </c>
      <c r="AG262" s="166">
        <f t="shared" si="100"/>
        <v>0</v>
      </c>
      <c r="AH262" s="167">
        <f t="shared" si="101"/>
        <v>0</v>
      </c>
      <c r="AI262" s="168">
        <f t="shared" si="102"/>
        <v>0</v>
      </c>
      <c r="AJ262" s="169">
        <f t="shared" si="103"/>
        <v>0</v>
      </c>
      <c r="AK262" s="170">
        <f t="shared" si="104"/>
        <v>0</v>
      </c>
      <c r="AL262" s="167">
        <f t="shared" si="105"/>
        <v>0</v>
      </c>
      <c r="AM262" s="166">
        <f t="shared" si="117"/>
        <v>0</v>
      </c>
      <c r="AN262" s="168">
        <f t="shared" si="118"/>
        <v>0</v>
      </c>
      <c r="AO262" s="169">
        <f t="shared" si="106"/>
        <v>0</v>
      </c>
      <c r="AP262" s="170">
        <f t="shared" si="107"/>
        <v>0</v>
      </c>
      <c r="AQ262" s="166">
        <f t="shared" si="108"/>
        <v>0</v>
      </c>
      <c r="AS262" s="56">
        <f>'Ship Data Metric'!E127*0.03280839895</f>
        <v>0</v>
      </c>
      <c r="AT262" s="75"/>
      <c r="AU262" s="168">
        <f t="shared" si="109"/>
        <v>0</v>
      </c>
      <c r="AV262" s="169">
        <f t="shared" si="110"/>
        <v>0</v>
      </c>
      <c r="AW262" s="170">
        <f t="shared" si="111"/>
        <v>0</v>
      </c>
      <c r="AX262" s="167">
        <f t="shared" si="112"/>
        <v>0</v>
      </c>
      <c r="AY262" s="166">
        <f t="shared" si="113"/>
        <v>0</v>
      </c>
    </row>
    <row r="263" ht="15.75" customHeight="1">
      <c r="AA263" s="75"/>
      <c r="AB263" s="76" t="s">
        <v>29</v>
      </c>
      <c r="AC263" s="56">
        <f>IF('Ship Data Imperial'!E128&gt;0,'Ship Data Imperial'!E128,AS263)</f>
        <v>0</v>
      </c>
      <c r="AD263" s="168">
        <f t="shared" si="119"/>
        <v>0</v>
      </c>
      <c r="AE263" s="169">
        <f t="shared" si="120"/>
        <v>0</v>
      </c>
      <c r="AF263" s="170">
        <f t="shared" si="121"/>
        <v>0</v>
      </c>
      <c r="AG263" s="166">
        <f t="shared" si="100"/>
        <v>0</v>
      </c>
      <c r="AH263" s="167">
        <f t="shared" si="101"/>
        <v>0</v>
      </c>
      <c r="AI263" s="168">
        <f t="shared" si="102"/>
        <v>0</v>
      </c>
      <c r="AJ263" s="169">
        <f t="shared" si="103"/>
        <v>0</v>
      </c>
      <c r="AK263" s="170">
        <f t="shared" si="104"/>
        <v>0</v>
      </c>
      <c r="AL263" s="167">
        <f t="shared" si="105"/>
        <v>0</v>
      </c>
      <c r="AM263" s="166">
        <f t="shared" si="117"/>
        <v>0</v>
      </c>
      <c r="AN263" s="168">
        <f t="shared" si="118"/>
        <v>0</v>
      </c>
      <c r="AO263" s="169">
        <f t="shared" si="106"/>
        <v>0</v>
      </c>
      <c r="AP263" s="170">
        <f t="shared" si="107"/>
        <v>0</v>
      </c>
      <c r="AQ263" s="166">
        <f t="shared" si="108"/>
        <v>0</v>
      </c>
      <c r="AS263" s="56">
        <f>'Ship Data Metric'!E128*0.03280839895</f>
        <v>0</v>
      </c>
      <c r="AT263" s="75"/>
      <c r="AU263" s="168">
        <f t="shared" si="109"/>
        <v>0</v>
      </c>
      <c r="AV263" s="169">
        <f t="shared" si="110"/>
        <v>0</v>
      </c>
      <c r="AW263" s="170">
        <f t="shared" si="111"/>
        <v>0</v>
      </c>
      <c r="AX263" s="167">
        <f t="shared" si="112"/>
        <v>0</v>
      </c>
      <c r="AY263" s="166">
        <f t="shared" si="113"/>
        <v>0</v>
      </c>
    </row>
    <row r="264" ht="15.75" customHeight="1">
      <c r="AA264" s="75"/>
      <c r="AB264" s="158" t="s">
        <v>51</v>
      </c>
      <c r="AC264" s="56">
        <f>IF('Ship Data Imperial'!E129&gt;0,'Ship Data Imperial'!E129,AS264)</f>
        <v>0</v>
      </c>
      <c r="AD264" s="168">
        <f t="shared" si="119"/>
        <v>0</v>
      </c>
      <c r="AE264" s="169">
        <f t="shared" si="120"/>
        <v>0</v>
      </c>
      <c r="AF264" s="170">
        <f t="shared" si="121"/>
        <v>0</v>
      </c>
      <c r="AG264" s="166">
        <f t="shared" si="100"/>
        <v>0</v>
      </c>
      <c r="AH264" s="167">
        <f t="shared" si="101"/>
        <v>0</v>
      </c>
      <c r="AI264" s="168">
        <f t="shared" si="102"/>
        <v>0</v>
      </c>
      <c r="AJ264" s="169">
        <f t="shared" si="103"/>
        <v>0</v>
      </c>
      <c r="AK264" s="170">
        <f t="shared" si="104"/>
        <v>0</v>
      </c>
      <c r="AL264" s="167">
        <f t="shared" si="105"/>
        <v>0</v>
      </c>
      <c r="AM264" s="166">
        <f t="shared" si="117"/>
        <v>0</v>
      </c>
      <c r="AN264" s="168">
        <f t="shared" si="118"/>
        <v>0</v>
      </c>
      <c r="AO264" s="169">
        <f t="shared" si="106"/>
        <v>0</v>
      </c>
      <c r="AP264" s="170">
        <f t="shared" si="107"/>
        <v>0</v>
      </c>
      <c r="AQ264" s="166">
        <f t="shared" si="108"/>
        <v>0</v>
      </c>
      <c r="AS264" s="56">
        <f>'Ship Data Metric'!E129*0.03280839895</f>
        <v>0</v>
      </c>
      <c r="AT264" s="75"/>
      <c r="AU264" s="168">
        <f t="shared" si="109"/>
        <v>0</v>
      </c>
      <c r="AV264" s="169">
        <f t="shared" si="110"/>
        <v>0</v>
      </c>
      <c r="AW264" s="170">
        <f t="shared" si="111"/>
        <v>0</v>
      </c>
      <c r="AX264" s="167">
        <f t="shared" si="112"/>
        <v>0</v>
      </c>
      <c r="AY264" s="166">
        <f t="shared" si="113"/>
        <v>0</v>
      </c>
    </row>
    <row r="265" ht="15.75" customHeight="1">
      <c r="AA265" s="75" t="s">
        <v>58</v>
      </c>
      <c r="AB265" s="76" t="s">
        <v>24</v>
      </c>
      <c r="AC265" s="56">
        <f>IF('Ship Data Imperial'!E130&gt;0,'Ship Data Imperial'!E130,AS265)</f>
        <v>0</v>
      </c>
      <c r="AD265" s="168">
        <f t="shared" si="119"/>
        <v>0</v>
      </c>
      <c r="AE265" s="169">
        <f t="shared" si="120"/>
        <v>0</v>
      </c>
      <c r="AF265" s="170">
        <f t="shared" si="121"/>
        <v>0</v>
      </c>
      <c r="AG265" s="166">
        <f t="shared" si="100"/>
        <v>0</v>
      </c>
      <c r="AH265" s="167">
        <f t="shared" si="101"/>
        <v>0</v>
      </c>
      <c r="AI265" s="168">
        <f t="shared" si="102"/>
        <v>0</v>
      </c>
      <c r="AJ265" s="169">
        <f t="shared" si="103"/>
        <v>0</v>
      </c>
      <c r="AK265" s="170">
        <f t="shared" si="104"/>
        <v>0</v>
      </c>
      <c r="AL265" s="167">
        <f t="shared" si="105"/>
        <v>0</v>
      </c>
      <c r="AM265" s="166">
        <f t="shared" si="117"/>
        <v>0</v>
      </c>
      <c r="AN265" s="168">
        <f t="shared" si="118"/>
        <v>0</v>
      </c>
      <c r="AO265" s="169">
        <f t="shared" si="106"/>
        <v>0</v>
      </c>
      <c r="AP265" s="170">
        <f t="shared" si="107"/>
        <v>0</v>
      </c>
      <c r="AQ265" s="166">
        <f t="shared" si="108"/>
        <v>0</v>
      </c>
      <c r="AS265" s="56">
        <f>'Ship Data Metric'!E130*0.03280839895</f>
        <v>0</v>
      </c>
      <c r="AT265" s="75" t="s">
        <v>58</v>
      </c>
      <c r="AU265" s="168">
        <f t="shared" si="109"/>
        <v>0</v>
      </c>
      <c r="AV265" s="169">
        <f t="shared" si="110"/>
        <v>0</v>
      </c>
      <c r="AW265" s="170">
        <f t="shared" si="111"/>
        <v>0</v>
      </c>
      <c r="AX265" s="167">
        <f t="shared" si="112"/>
        <v>0</v>
      </c>
      <c r="AY265" s="166">
        <f t="shared" si="113"/>
        <v>0</v>
      </c>
    </row>
    <row r="266" ht="15.75" customHeight="1">
      <c r="AA266" s="75"/>
      <c r="AB266" s="76" t="s">
        <v>25</v>
      </c>
      <c r="AC266" s="56">
        <f>IF('Ship Data Imperial'!E131&gt;0,'Ship Data Imperial'!E131,AS266)</f>
        <v>0</v>
      </c>
      <c r="AD266" s="168">
        <f t="shared" si="119"/>
        <v>0</v>
      </c>
      <c r="AE266" s="169">
        <f t="shared" si="120"/>
        <v>0</v>
      </c>
      <c r="AF266" s="170">
        <f t="shared" si="121"/>
        <v>0</v>
      </c>
      <c r="AG266" s="166">
        <f t="shared" si="100"/>
        <v>0</v>
      </c>
      <c r="AH266" s="167">
        <f t="shared" si="101"/>
        <v>0</v>
      </c>
      <c r="AI266" s="168">
        <f t="shared" si="102"/>
        <v>0</v>
      </c>
      <c r="AJ266" s="169">
        <f t="shared" si="103"/>
        <v>0</v>
      </c>
      <c r="AK266" s="170">
        <f t="shared" si="104"/>
        <v>0</v>
      </c>
      <c r="AL266" s="167">
        <f t="shared" si="105"/>
        <v>0</v>
      </c>
      <c r="AM266" s="166">
        <f t="shared" si="117"/>
        <v>0</v>
      </c>
      <c r="AN266" s="168">
        <f t="shared" si="118"/>
        <v>0</v>
      </c>
      <c r="AO266" s="169">
        <f t="shared" si="106"/>
        <v>0</v>
      </c>
      <c r="AP266" s="170">
        <f t="shared" si="107"/>
        <v>0</v>
      </c>
      <c r="AQ266" s="166">
        <f t="shared" si="108"/>
        <v>0</v>
      </c>
      <c r="AS266" s="56">
        <f>'Ship Data Metric'!E131*0.03280839895</f>
        <v>0</v>
      </c>
      <c r="AT266" s="75"/>
      <c r="AU266" s="168">
        <f t="shared" si="109"/>
        <v>0</v>
      </c>
      <c r="AV266" s="169">
        <f t="shared" si="110"/>
        <v>0</v>
      </c>
      <c r="AW266" s="170">
        <f t="shared" si="111"/>
        <v>0</v>
      </c>
      <c r="AX266" s="167">
        <f t="shared" si="112"/>
        <v>0</v>
      </c>
      <c r="AY266" s="166">
        <f t="shared" si="113"/>
        <v>0</v>
      </c>
    </row>
    <row r="267" ht="15.75" customHeight="1">
      <c r="AA267" s="75"/>
      <c r="AB267" s="76" t="s">
        <v>26</v>
      </c>
      <c r="AC267" s="56">
        <f>IF('Ship Data Imperial'!E132&gt;0,'Ship Data Imperial'!E132,AS267)</f>
        <v>0</v>
      </c>
      <c r="AD267" s="168">
        <f t="shared" si="119"/>
        <v>0</v>
      </c>
      <c r="AE267" s="169">
        <f t="shared" si="120"/>
        <v>0</v>
      </c>
      <c r="AF267" s="170">
        <f t="shared" si="121"/>
        <v>0</v>
      </c>
      <c r="AG267" s="166">
        <f t="shared" si="100"/>
        <v>0</v>
      </c>
      <c r="AH267" s="167">
        <f t="shared" si="101"/>
        <v>0</v>
      </c>
      <c r="AI267" s="168">
        <f t="shared" si="102"/>
        <v>0</v>
      </c>
      <c r="AJ267" s="169">
        <f t="shared" si="103"/>
        <v>0</v>
      </c>
      <c r="AK267" s="170">
        <f t="shared" si="104"/>
        <v>0</v>
      </c>
      <c r="AL267" s="167">
        <f t="shared" si="105"/>
        <v>0</v>
      </c>
      <c r="AM267" s="166">
        <f t="shared" si="117"/>
        <v>0</v>
      </c>
      <c r="AN267" s="168">
        <f t="shared" si="118"/>
        <v>0</v>
      </c>
      <c r="AO267" s="169">
        <f t="shared" si="106"/>
        <v>0</v>
      </c>
      <c r="AP267" s="170">
        <f t="shared" si="107"/>
        <v>0</v>
      </c>
      <c r="AQ267" s="166">
        <f t="shared" si="108"/>
        <v>0</v>
      </c>
      <c r="AS267" s="56">
        <f>'Ship Data Metric'!E132*0.03280839895</f>
        <v>0</v>
      </c>
      <c r="AT267" s="75"/>
      <c r="AU267" s="168">
        <f t="shared" si="109"/>
        <v>0</v>
      </c>
      <c r="AV267" s="169">
        <f t="shared" si="110"/>
        <v>0</v>
      </c>
      <c r="AW267" s="170">
        <f t="shared" si="111"/>
        <v>0</v>
      </c>
      <c r="AX267" s="167">
        <f t="shared" si="112"/>
        <v>0</v>
      </c>
      <c r="AY267" s="166">
        <f t="shared" si="113"/>
        <v>0</v>
      </c>
    </row>
    <row r="268" ht="15.75" customHeight="1">
      <c r="AA268" s="75"/>
      <c r="AB268" s="76" t="s">
        <v>27</v>
      </c>
      <c r="AC268" s="56">
        <f>IF('Ship Data Imperial'!E133&gt;0,'Ship Data Imperial'!E133,AS268)</f>
        <v>0</v>
      </c>
      <c r="AD268" s="168">
        <f t="shared" si="119"/>
        <v>0</v>
      </c>
      <c r="AE268" s="169">
        <f t="shared" si="120"/>
        <v>0</v>
      </c>
      <c r="AF268" s="170">
        <f t="shared" si="121"/>
        <v>0</v>
      </c>
      <c r="AG268" s="166">
        <f t="shared" si="100"/>
        <v>0</v>
      </c>
      <c r="AH268" s="167">
        <f t="shared" si="101"/>
        <v>0</v>
      </c>
      <c r="AI268" s="168">
        <f t="shared" si="102"/>
        <v>0</v>
      </c>
      <c r="AJ268" s="169">
        <f t="shared" si="103"/>
        <v>0</v>
      </c>
      <c r="AK268" s="170">
        <f t="shared" si="104"/>
        <v>0</v>
      </c>
      <c r="AL268" s="167">
        <f t="shared" si="105"/>
        <v>0</v>
      </c>
      <c r="AM268" s="166">
        <f t="shared" si="117"/>
        <v>0</v>
      </c>
      <c r="AN268" s="168">
        <f t="shared" si="118"/>
        <v>0</v>
      </c>
      <c r="AO268" s="169">
        <f t="shared" si="106"/>
        <v>0</v>
      </c>
      <c r="AP268" s="170">
        <f t="shared" si="107"/>
        <v>0</v>
      </c>
      <c r="AQ268" s="166">
        <f t="shared" si="108"/>
        <v>0</v>
      </c>
      <c r="AS268" s="56">
        <f>'Ship Data Metric'!E133*0.03280839895</f>
        <v>0</v>
      </c>
      <c r="AT268" s="75"/>
      <c r="AU268" s="168">
        <f t="shared" si="109"/>
        <v>0</v>
      </c>
      <c r="AV268" s="169">
        <f t="shared" si="110"/>
        <v>0</v>
      </c>
      <c r="AW268" s="170">
        <f t="shared" si="111"/>
        <v>0</v>
      </c>
      <c r="AX268" s="167">
        <f t="shared" si="112"/>
        <v>0</v>
      </c>
      <c r="AY268" s="166">
        <f t="shared" si="113"/>
        <v>0</v>
      </c>
    </row>
    <row r="269" ht="15.75" customHeight="1">
      <c r="AA269" s="75"/>
      <c r="AB269" s="76" t="s">
        <v>28</v>
      </c>
      <c r="AC269" s="56">
        <f>IF('Ship Data Imperial'!E134&gt;0,'Ship Data Imperial'!E134,AS269)</f>
        <v>0</v>
      </c>
      <c r="AD269" s="168">
        <f t="shared" si="119"/>
        <v>0</v>
      </c>
      <c r="AE269" s="169">
        <f t="shared" si="120"/>
        <v>0</v>
      </c>
      <c r="AF269" s="170">
        <f t="shared" si="121"/>
        <v>0</v>
      </c>
      <c r="AG269" s="166">
        <f t="shared" si="100"/>
        <v>0</v>
      </c>
      <c r="AH269" s="167">
        <f t="shared" si="101"/>
        <v>0</v>
      </c>
      <c r="AI269" s="168">
        <f t="shared" si="102"/>
        <v>0</v>
      </c>
      <c r="AJ269" s="169">
        <f t="shared" si="103"/>
        <v>0</v>
      </c>
      <c r="AK269" s="170">
        <f t="shared" si="104"/>
        <v>0</v>
      </c>
      <c r="AL269" s="167">
        <f t="shared" si="105"/>
        <v>0</v>
      </c>
      <c r="AM269" s="166">
        <f t="shared" si="117"/>
        <v>0</v>
      </c>
      <c r="AN269" s="168">
        <f t="shared" si="118"/>
        <v>0</v>
      </c>
      <c r="AO269" s="169">
        <f t="shared" si="106"/>
        <v>0</v>
      </c>
      <c r="AP269" s="170">
        <f t="shared" si="107"/>
        <v>0</v>
      </c>
      <c r="AQ269" s="166">
        <f t="shared" si="108"/>
        <v>0</v>
      </c>
      <c r="AS269" s="56">
        <f>'Ship Data Metric'!E134*0.03280839895</f>
        <v>0</v>
      </c>
      <c r="AT269" s="75"/>
      <c r="AU269" s="168">
        <f t="shared" si="109"/>
        <v>0</v>
      </c>
      <c r="AV269" s="169">
        <f t="shared" si="110"/>
        <v>0</v>
      </c>
      <c r="AW269" s="170">
        <f t="shared" si="111"/>
        <v>0</v>
      </c>
      <c r="AX269" s="167">
        <f t="shared" si="112"/>
        <v>0</v>
      </c>
      <c r="AY269" s="166">
        <f t="shared" si="113"/>
        <v>0</v>
      </c>
    </row>
    <row r="270" ht="15.75" customHeight="1">
      <c r="AA270" s="75"/>
      <c r="AB270" s="76" t="s">
        <v>29</v>
      </c>
      <c r="AC270" s="56">
        <f>IF('Ship Data Imperial'!E135&gt;0,'Ship Data Imperial'!E135,AS270)</f>
        <v>0</v>
      </c>
      <c r="AD270" s="168">
        <f t="shared" si="119"/>
        <v>0</v>
      </c>
      <c r="AE270" s="169">
        <f t="shared" si="120"/>
        <v>0</v>
      </c>
      <c r="AF270" s="170">
        <f t="shared" si="121"/>
        <v>0</v>
      </c>
      <c r="AG270" s="166">
        <f t="shared" si="100"/>
        <v>0</v>
      </c>
      <c r="AH270" s="167">
        <f t="shared" si="101"/>
        <v>0</v>
      </c>
      <c r="AI270" s="168">
        <f t="shared" si="102"/>
        <v>0</v>
      </c>
      <c r="AJ270" s="169">
        <f t="shared" si="103"/>
        <v>0</v>
      </c>
      <c r="AK270" s="170">
        <f t="shared" si="104"/>
        <v>0</v>
      </c>
      <c r="AL270" s="167">
        <f t="shared" si="105"/>
        <v>0</v>
      </c>
      <c r="AM270" s="166">
        <f t="shared" si="117"/>
        <v>0</v>
      </c>
      <c r="AN270" s="168">
        <f t="shared" si="118"/>
        <v>0</v>
      </c>
      <c r="AO270" s="169">
        <f t="shared" si="106"/>
        <v>0</v>
      </c>
      <c r="AP270" s="170">
        <f t="shared" si="107"/>
        <v>0</v>
      </c>
      <c r="AQ270" s="166">
        <f t="shared" si="108"/>
        <v>0</v>
      </c>
      <c r="AS270" s="56">
        <f>'Ship Data Metric'!E135*0.03280839895</f>
        <v>0</v>
      </c>
      <c r="AT270" s="75"/>
      <c r="AU270" s="168">
        <f t="shared" si="109"/>
        <v>0</v>
      </c>
      <c r="AV270" s="169">
        <f t="shared" si="110"/>
        <v>0</v>
      </c>
      <c r="AW270" s="170">
        <f t="shared" si="111"/>
        <v>0</v>
      </c>
      <c r="AX270" s="167">
        <f t="shared" si="112"/>
        <v>0</v>
      </c>
      <c r="AY270" s="166">
        <f t="shared" si="113"/>
        <v>0</v>
      </c>
    </row>
    <row r="271" ht="15.75" customHeight="1">
      <c r="AA271" s="75"/>
      <c r="AB271" s="158" t="s">
        <v>51</v>
      </c>
      <c r="AC271" s="56">
        <f>IF('Ship Data Imperial'!E136&gt;0,'Ship Data Imperial'!E136,AS271)</f>
        <v>0</v>
      </c>
      <c r="AD271" s="168">
        <f t="shared" si="119"/>
        <v>0</v>
      </c>
      <c r="AE271" s="169">
        <f t="shared" si="120"/>
        <v>0</v>
      </c>
      <c r="AF271" s="170">
        <f t="shared" si="121"/>
        <v>0</v>
      </c>
      <c r="AG271" s="166">
        <f t="shared" si="100"/>
        <v>0</v>
      </c>
      <c r="AH271" s="167">
        <f t="shared" si="101"/>
        <v>0</v>
      </c>
      <c r="AI271" s="168">
        <f t="shared" si="102"/>
        <v>0</v>
      </c>
      <c r="AJ271" s="169">
        <f t="shared" si="103"/>
        <v>0</v>
      </c>
      <c r="AK271" s="170">
        <f t="shared" si="104"/>
        <v>0</v>
      </c>
      <c r="AL271" s="167">
        <f t="shared" si="105"/>
        <v>0</v>
      </c>
      <c r="AM271" s="166">
        <f t="shared" si="117"/>
        <v>0</v>
      </c>
      <c r="AN271" s="168">
        <f t="shared" si="118"/>
        <v>0</v>
      </c>
      <c r="AO271" s="169">
        <f t="shared" si="106"/>
        <v>0</v>
      </c>
      <c r="AP271" s="170">
        <f t="shared" si="107"/>
        <v>0</v>
      </c>
      <c r="AQ271" s="166">
        <f t="shared" si="108"/>
        <v>0</v>
      </c>
      <c r="AS271" s="56">
        <f>'Ship Data Metric'!E136*0.03280839895</f>
        <v>0</v>
      </c>
      <c r="AT271" s="75"/>
      <c r="AU271" s="168">
        <f t="shared" si="109"/>
        <v>0</v>
      </c>
      <c r="AV271" s="169">
        <f t="shared" si="110"/>
        <v>0</v>
      </c>
      <c r="AW271" s="170">
        <f t="shared" si="111"/>
        <v>0</v>
      </c>
      <c r="AX271" s="167">
        <f t="shared" si="112"/>
        <v>0</v>
      </c>
      <c r="AY271" s="166">
        <f t="shared" si="113"/>
        <v>0</v>
      </c>
    </row>
    <row r="272" ht="15.75" customHeight="1">
      <c r="AD272" s="222">
        <f t="shared" ref="AD272:AQ272" si="122">SUM(AD138:AD257)</f>
        <v>4.492932686</v>
      </c>
      <c r="AE272" s="222">
        <f t="shared" si="122"/>
        <v>3.9313161</v>
      </c>
      <c r="AF272" s="222">
        <f t="shared" si="122"/>
        <v>0.02610639598</v>
      </c>
      <c r="AG272" s="222">
        <f t="shared" si="122"/>
        <v>0.03091806759</v>
      </c>
      <c r="AH272" s="222">
        <f t="shared" si="122"/>
        <v>0.03788978871</v>
      </c>
      <c r="AI272" s="222">
        <f t="shared" si="122"/>
        <v>0</v>
      </c>
      <c r="AJ272" s="222">
        <f t="shared" si="122"/>
        <v>0.01780880693</v>
      </c>
      <c r="AK272" s="222">
        <f t="shared" si="122"/>
        <v>0.0218245183</v>
      </c>
      <c r="AL272" s="222">
        <f t="shared" si="122"/>
        <v>0</v>
      </c>
      <c r="AM272" s="222">
        <f t="shared" si="122"/>
        <v>0.032640106</v>
      </c>
      <c r="AN272" s="222">
        <f t="shared" si="122"/>
        <v>0.0359041166</v>
      </c>
      <c r="AO272" s="222">
        <f t="shared" si="122"/>
        <v>0.0218245183</v>
      </c>
      <c r="AP272" s="222">
        <f t="shared" si="122"/>
        <v>0.03788978871</v>
      </c>
      <c r="AQ272" s="222">
        <f t="shared" si="122"/>
        <v>0.0218245183</v>
      </c>
      <c r="AU272" s="222">
        <f t="shared" ref="AU272:AY272" si="123">SUM(AU138:AU257)</f>
        <v>0.01319500815</v>
      </c>
      <c r="AV272" s="222">
        <f t="shared" si="123"/>
        <v>0.01039210813</v>
      </c>
      <c r="AW272" s="222">
        <f t="shared" si="123"/>
        <v>0.008479960234</v>
      </c>
      <c r="AX272" s="222">
        <f t="shared" si="123"/>
        <v>0.006235264878</v>
      </c>
      <c r="AY272" s="222">
        <f t="shared" si="123"/>
        <v>0.005087976141</v>
      </c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C3:D3"/>
    <mergeCell ref="E3:F3"/>
    <mergeCell ref="G3:I3"/>
    <mergeCell ref="J3:L3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69696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5.71"/>
    <col customWidth="1" min="2" max="2" width="45.0"/>
    <col customWidth="1" min="3" max="10" width="11.0"/>
    <col customWidth="1" min="11" max="11" width="11.71"/>
    <col customWidth="1" min="12" max="27" width="9.14"/>
    <col customWidth="1" hidden="1" min="28" max="28" width="10.43"/>
    <col customWidth="1" hidden="1" min="29" max="29" width="18.29"/>
    <col customWidth="1" hidden="1" min="30" max="40" width="8.0"/>
  </cols>
  <sheetData>
    <row r="1" ht="15.75" customHeight="1">
      <c r="A1" s="51"/>
      <c r="B1" s="52" t="s">
        <v>196</v>
      </c>
      <c r="C1" s="7"/>
      <c r="D1" s="7"/>
      <c r="E1" s="7"/>
      <c r="F1" s="7"/>
      <c r="G1" s="7"/>
      <c r="H1" s="7"/>
      <c r="I1" s="7"/>
      <c r="J1" s="7"/>
      <c r="K1" s="14"/>
      <c r="L1" s="14"/>
      <c r="M1" s="51"/>
      <c r="N1" s="51"/>
      <c r="O1" s="51"/>
      <c r="P1" s="51"/>
      <c r="Q1" s="51"/>
      <c r="R1" s="54"/>
      <c r="S1" s="54"/>
      <c r="T1" s="54"/>
      <c r="U1" s="54"/>
      <c r="V1" s="54"/>
      <c r="W1" s="54"/>
      <c r="X1" s="54"/>
      <c r="Y1" s="54"/>
      <c r="Z1" s="54"/>
      <c r="AA1" s="54"/>
      <c r="AB1" s="55" t="s">
        <v>16</v>
      </c>
      <c r="AC1" s="55" t="s">
        <v>17</v>
      </c>
      <c r="AD1" s="55" t="s">
        <v>18</v>
      </c>
      <c r="AE1" s="223" t="s">
        <v>197</v>
      </c>
      <c r="AF1" s="46" t="s">
        <v>198</v>
      </c>
      <c r="AG1" s="224" t="s">
        <v>199</v>
      </c>
      <c r="AH1" s="225" t="s">
        <v>200</v>
      </c>
      <c r="AI1" s="223" t="s">
        <v>201</v>
      </c>
      <c r="AJ1" s="226" t="s">
        <v>202</v>
      </c>
      <c r="AK1" s="227" t="s">
        <v>203</v>
      </c>
      <c r="AL1" s="228" t="s">
        <v>204</v>
      </c>
      <c r="AM1" s="229" t="s">
        <v>205</v>
      </c>
      <c r="AN1" s="55" t="s">
        <v>18</v>
      </c>
    </row>
    <row r="2" ht="16.5" customHeight="1">
      <c r="A2" s="51"/>
      <c r="B2" s="74" t="s">
        <v>81</v>
      </c>
      <c r="C2" s="53"/>
      <c r="D2" s="53"/>
      <c r="E2" s="53"/>
      <c r="F2" s="53"/>
      <c r="G2" s="53"/>
      <c r="H2" s="53"/>
      <c r="I2" s="53"/>
      <c r="J2" s="53"/>
      <c r="K2" s="51"/>
      <c r="L2" s="51"/>
      <c r="M2" s="51"/>
      <c r="N2" s="51"/>
      <c r="O2" s="51"/>
      <c r="P2" s="51"/>
      <c r="Q2" s="51"/>
      <c r="R2" s="54"/>
      <c r="S2" s="54"/>
      <c r="T2" s="54"/>
      <c r="U2" s="54"/>
      <c r="V2" s="54"/>
      <c r="W2" s="54"/>
      <c r="X2" s="54"/>
      <c r="Y2" s="54"/>
      <c r="Z2" s="54"/>
      <c r="AA2" s="54"/>
      <c r="AB2" s="75" t="s">
        <v>23</v>
      </c>
      <c r="AC2" s="76" t="s">
        <v>24</v>
      </c>
      <c r="AD2" s="56">
        <f>IF('Ship Data Imperial'!E3&gt;0,'Ship Data Imperial'!E3,Standing!AN2)</f>
        <v>0</v>
      </c>
      <c r="AE2" s="230">
        <f t="shared" ref="AE2:AE13" si="1">IF(AD2&gt;0,$C$75*0.9,0)</f>
        <v>0</v>
      </c>
      <c r="AF2" s="47">
        <f t="shared" ref="AF2:AF91" si="2">IF(AD2&gt;0,$C$26*0.9,0)</f>
        <v>0</v>
      </c>
      <c r="AG2" s="231">
        <f t="shared" ref="AG2:AG105" si="3">IF(AD2&gt;0,$C$75*0.7,0)</f>
        <v>0</v>
      </c>
      <c r="AH2" s="232">
        <f t="shared" ref="AH2:AH13" si="4">IF(AD2&gt;0,$C$77*0.9,0)</f>
        <v>0</v>
      </c>
      <c r="AI2" s="230">
        <f t="shared" ref="AI2:AI105" si="5">IF(AD2&gt;0,$C$26*0.7,0)</f>
        <v>0</v>
      </c>
      <c r="AJ2" s="233">
        <f t="shared" ref="AJ2:AJ91" si="6">IF(AD2&gt;0,$C$28*0.9,0)</f>
        <v>0</v>
      </c>
      <c r="AK2" s="234">
        <f t="shared" ref="AK2:AK61" si="7">IF(AD2&gt;0,$C$26/3,0)</f>
        <v>0</v>
      </c>
      <c r="AL2" s="228">
        <f>IF(AD2&gt;0,$C$49*0.8,0)</f>
        <v>0</v>
      </c>
      <c r="AM2" s="229">
        <f>IF(AD2&gt;0,3.25,0)</f>
        <v>0</v>
      </c>
      <c r="AN2" s="56">
        <f>'Ship Data Metric'!E3*0.03280839895</f>
        <v>0</v>
      </c>
    </row>
    <row r="3" ht="15.75" customHeight="1">
      <c r="A3" s="51"/>
      <c r="B3" s="89" t="s">
        <v>206</v>
      </c>
      <c r="C3" s="235" t="s">
        <v>83</v>
      </c>
      <c r="D3" s="91"/>
      <c r="E3" s="92" t="s">
        <v>84</v>
      </c>
      <c r="F3" s="91"/>
      <c r="G3" s="177" t="s">
        <v>207</v>
      </c>
      <c r="H3" s="91"/>
      <c r="I3" s="236" t="s">
        <v>208</v>
      </c>
      <c r="J3" s="91"/>
      <c r="K3" s="51"/>
      <c r="L3" s="237"/>
      <c r="M3" s="4"/>
      <c r="N3" s="51"/>
      <c r="O3" s="51"/>
      <c r="P3" s="51"/>
      <c r="Q3" s="51"/>
      <c r="R3" s="54"/>
      <c r="S3" s="54"/>
      <c r="T3" s="54"/>
      <c r="U3" s="54"/>
      <c r="V3" s="54"/>
      <c r="W3" s="54"/>
      <c r="X3" s="54"/>
      <c r="Y3" s="54"/>
      <c r="Z3" s="54"/>
      <c r="AA3" s="54"/>
      <c r="AB3" s="75"/>
      <c r="AC3" s="76" t="s">
        <v>25</v>
      </c>
      <c r="AD3" s="56">
        <f>IF('Ship Data Imperial'!E4&gt;0,'Ship Data Imperial'!E4,Standing!AN3)</f>
        <v>0</v>
      </c>
      <c r="AE3" s="230">
        <f t="shared" si="1"/>
        <v>0</v>
      </c>
      <c r="AF3" s="47">
        <f t="shared" si="2"/>
        <v>0</v>
      </c>
      <c r="AG3" s="231">
        <f t="shared" si="3"/>
        <v>0</v>
      </c>
      <c r="AH3" s="232">
        <f t="shared" si="4"/>
        <v>0</v>
      </c>
      <c r="AI3" s="230">
        <f t="shared" si="5"/>
        <v>0</v>
      </c>
      <c r="AJ3" s="233">
        <f t="shared" si="6"/>
        <v>0</v>
      </c>
      <c r="AK3" s="234">
        <f t="shared" si="7"/>
        <v>0</v>
      </c>
      <c r="AL3" s="228">
        <f>IF(AD3&gt;0,$C$49*0.75,0)</f>
        <v>0</v>
      </c>
      <c r="AM3" s="229">
        <f t="shared" ref="AM3:AM7" si="8">IF(AD3&gt;0,3,0)</f>
        <v>0</v>
      </c>
      <c r="AN3" s="56">
        <f>'Ship Data Metric'!E4*0.03280839895</f>
        <v>0</v>
      </c>
    </row>
    <row r="4" ht="15.75" customHeight="1">
      <c r="A4" s="51"/>
      <c r="B4" s="97"/>
      <c r="C4" s="238" t="s">
        <v>209</v>
      </c>
      <c r="D4" s="99" t="s">
        <v>210</v>
      </c>
      <c r="E4" s="100" t="s">
        <v>209</v>
      </c>
      <c r="F4" s="101" t="s">
        <v>210</v>
      </c>
      <c r="G4" s="102" t="s">
        <v>209</v>
      </c>
      <c r="H4" s="239" t="s">
        <v>210</v>
      </c>
      <c r="I4" s="105" t="s">
        <v>209</v>
      </c>
      <c r="J4" s="240" t="s">
        <v>210</v>
      </c>
      <c r="K4" s="51"/>
      <c r="L4" s="241"/>
      <c r="M4" s="241"/>
      <c r="N4" s="51"/>
      <c r="O4" s="51"/>
      <c r="P4" s="51"/>
      <c r="Q4" s="51"/>
      <c r="R4" s="54"/>
      <c r="S4" s="54"/>
      <c r="T4" s="54"/>
      <c r="U4" s="54"/>
      <c r="V4" s="54"/>
      <c r="W4" s="54"/>
      <c r="X4" s="54"/>
      <c r="Y4" s="54"/>
      <c r="Z4" s="54"/>
      <c r="AA4" s="54"/>
      <c r="AB4" s="75"/>
      <c r="AC4" s="76" t="s">
        <v>26</v>
      </c>
      <c r="AD4" s="56">
        <f>IF('Ship Data Imperial'!E5&gt;0,'Ship Data Imperial'!E5,Standing!AN4)</f>
        <v>0</v>
      </c>
      <c r="AE4" s="230">
        <f t="shared" si="1"/>
        <v>0</v>
      </c>
      <c r="AF4" s="47">
        <f t="shared" si="2"/>
        <v>0</v>
      </c>
      <c r="AG4" s="231">
        <f t="shared" si="3"/>
        <v>0</v>
      </c>
      <c r="AH4" s="232">
        <f t="shared" si="4"/>
        <v>0</v>
      </c>
      <c r="AI4" s="230">
        <f t="shared" si="5"/>
        <v>0</v>
      </c>
      <c r="AJ4" s="233">
        <f t="shared" si="6"/>
        <v>0</v>
      </c>
      <c r="AK4" s="234">
        <f t="shared" si="7"/>
        <v>0</v>
      </c>
      <c r="AL4" s="228">
        <f t="shared" ref="AL4:AL7" si="9">IF(AD4&gt;0,$C$49*0.66,0)</f>
        <v>0</v>
      </c>
      <c r="AM4" s="229">
        <f t="shared" si="8"/>
        <v>0</v>
      </c>
      <c r="AN4" s="56">
        <f>'Ship Data Metric'!E5*0.03280839895</f>
        <v>0</v>
      </c>
    </row>
    <row r="5" ht="15.75" customHeight="1">
      <c r="A5" s="51"/>
      <c r="B5" s="194" t="s">
        <v>211</v>
      </c>
      <c r="C5" s="242">
        <f>AK136</f>
        <v>2.946751968</v>
      </c>
      <c r="D5" s="110">
        <f t="shared" ref="D5:D184" si="10">C5/3.1416</f>
        <v>0.9379780903</v>
      </c>
      <c r="E5" s="111">
        <f t="shared" ref="E5:E184" si="11">C5*25.4</f>
        <v>74.8475</v>
      </c>
      <c r="F5" s="112">
        <f t="shared" ref="F5:F184" si="12">E5/3.1416</f>
        <v>23.82464349</v>
      </c>
      <c r="G5" s="113">
        <f>C5/Introduction!$I$20</f>
        <v>0.03069533301</v>
      </c>
      <c r="H5" s="137">
        <f t="shared" ref="H5:H184" si="13">G5/3.1416</f>
        <v>0.009770605107</v>
      </c>
      <c r="I5" s="115">
        <f>E5/Introduction!$I$20</f>
        <v>0.7796614583</v>
      </c>
      <c r="J5" s="142">
        <f t="shared" ref="J5:J184" si="14">I5/3.1416</f>
        <v>0.2481733697</v>
      </c>
      <c r="K5" s="51"/>
      <c r="L5" s="241"/>
      <c r="M5" s="241"/>
      <c r="N5" s="51"/>
      <c r="O5" s="51"/>
      <c r="P5" s="51"/>
      <c r="Q5" s="51"/>
      <c r="R5" s="54"/>
      <c r="S5" s="54"/>
      <c r="T5" s="54"/>
      <c r="U5" s="54"/>
      <c r="V5" s="54"/>
      <c r="W5" s="54"/>
      <c r="X5" s="54"/>
      <c r="Y5" s="54"/>
      <c r="Z5" s="54"/>
      <c r="AA5" s="54"/>
      <c r="AB5" s="75"/>
      <c r="AC5" s="76" t="s">
        <v>27</v>
      </c>
      <c r="AD5" s="56">
        <f>IF('Ship Data Imperial'!E6&gt;0,'Ship Data Imperial'!E6,Standing!AN5)</f>
        <v>0</v>
      </c>
      <c r="AE5" s="230">
        <f t="shared" si="1"/>
        <v>0</v>
      </c>
      <c r="AF5" s="47">
        <f t="shared" si="2"/>
        <v>0</v>
      </c>
      <c r="AG5" s="231">
        <f t="shared" si="3"/>
        <v>0</v>
      </c>
      <c r="AH5" s="232">
        <f t="shared" si="4"/>
        <v>0</v>
      </c>
      <c r="AI5" s="230">
        <f t="shared" si="5"/>
        <v>0</v>
      </c>
      <c r="AJ5" s="233">
        <f t="shared" si="6"/>
        <v>0</v>
      </c>
      <c r="AK5" s="234">
        <f t="shared" si="7"/>
        <v>0</v>
      </c>
      <c r="AL5" s="228">
        <f t="shared" si="9"/>
        <v>0</v>
      </c>
      <c r="AM5" s="229">
        <f t="shared" si="8"/>
        <v>0</v>
      </c>
      <c r="AN5" s="56">
        <f>'Ship Data Metric'!E6*0.03280839895</f>
        <v>0</v>
      </c>
    </row>
    <row r="6">
      <c r="A6" s="51"/>
      <c r="B6" s="199" t="s">
        <v>212</v>
      </c>
      <c r="C6" s="217">
        <f>AK136</f>
        <v>2.946751968</v>
      </c>
      <c r="D6" s="218">
        <f t="shared" si="10"/>
        <v>0.9379780903</v>
      </c>
      <c r="E6" s="121">
        <f t="shared" si="11"/>
        <v>74.8475</v>
      </c>
      <c r="F6" s="122">
        <f t="shared" si="12"/>
        <v>23.82464349</v>
      </c>
      <c r="G6" s="123">
        <f>C6/Introduction!$I$20</f>
        <v>0.03069533301</v>
      </c>
      <c r="H6" s="192">
        <f t="shared" si="13"/>
        <v>0.009770605107</v>
      </c>
      <c r="I6" s="124">
        <f>E6/Introduction!$I$20</f>
        <v>0.7796614583</v>
      </c>
      <c r="J6" s="125">
        <f t="shared" si="14"/>
        <v>0.2481733697</v>
      </c>
      <c r="K6" s="51"/>
      <c r="L6" s="241"/>
      <c r="M6" s="241"/>
      <c r="N6" s="51"/>
      <c r="O6" s="51"/>
      <c r="P6" s="51"/>
      <c r="Q6" s="51"/>
      <c r="R6" s="54"/>
      <c r="S6" s="54"/>
      <c r="T6" s="54"/>
      <c r="U6" s="54"/>
      <c r="V6" s="54"/>
      <c r="W6" s="54"/>
      <c r="X6" s="54"/>
      <c r="Y6" s="54"/>
      <c r="Z6" s="54"/>
      <c r="AA6" s="54"/>
      <c r="AB6" s="75"/>
      <c r="AC6" s="76" t="s">
        <v>28</v>
      </c>
      <c r="AD6" s="56">
        <f>IF('Ship Data Imperial'!E7&gt;0,'Ship Data Imperial'!E7,Standing!AN6)</f>
        <v>0</v>
      </c>
      <c r="AE6" s="230">
        <f t="shared" si="1"/>
        <v>0</v>
      </c>
      <c r="AF6" s="47">
        <f t="shared" si="2"/>
        <v>0</v>
      </c>
      <c r="AG6" s="231">
        <f t="shared" si="3"/>
        <v>0</v>
      </c>
      <c r="AH6" s="232">
        <f t="shared" si="4"/>
        <v>0</v>
      </c>
      <c r="AI6" s="230">
        <f t="shared" si="5"/>
        <v>0</v>
      </c>
      <c r="AJ6" s="233">
        <f t="shared" si="6"/>
        <v>0</v>
      </c>
      <c r="AK6" s="234">
        <f t="shared" si="7"/>
        <v>0</v>
      </c>
      <c r="AL6" s="228">
        <f t="shared" si="9"/>
        <v>0</v>
      </c>
      <c r="AM6" s="229">
        <f t="shared" si="8"/>
        <v>0</v>
      </c>
      <c r="AN6" s="56">
        <f>'Ship Data Metric'!E7*0.03280839895</f>
        <v>0</v>
      </c>
    </row>
    <row r="7">
      <c r="A7" s="51"/>
      <c r="B7" s="199" t="s">
        <v>213</v>
      </c>
      <c r="C7" s="217">
        <f>C26*0.44</f>
        <v>2.593141732</v>
      </c>
      <c r="D7" s="218">
        <f t="shared" si="10"/>
        <v>0.8254207195</v>
      </c>
      <c r="E7" s="121">
        <f t="shared" si="11"/>
        <v>65.8658</v>
      </c>
      <c r="F7" s="122">
        <f t="shared" si="12"/>
        <v>20.96568627</v>
      </c>
      <c r="G7" s="123">
        <f>C7/Introduction!$I$20</f>
        <v>0.02701189304</v>
      </c>
      <c r="H7" s="192">
        <f t="shared" si="13"/>
        <v>0.008598132494</v>
      </c>
      <c r="I7" s="124">
        <f>E7/Introduction!$I$20</f>
        <v>0.6861020833</v>
      </c>
      <c r="J7" s="125">
        <f t="shared" si="14"/>
        <v>0.2183925654</v>
      </c>
      <c r="K7" s="51"/>
      <c r="L7" s="241"/>
      <c r="M7" s="241"/>
      <c r="N7" s="51"/>
      <c r="O7" s="51"/>
      <c r="P7" s="51"/>
      <c r="Q7" s="51"/>
      <c r="R7" s="54"/>
      <c r="S7" s="54"/>
      <c r="T7" s="54"/>
      <c r="U7" s="54"/>
      <c r="V7" s="54"/>
      <c r="W7" s="54"/>
      <c r="X7" s="54"/>
      <c r="Y7" s="54"/>
      <c r="Z7" s="54"/>
      <c r="AA7" s="54"/>
      <c r="AB7" s="75"/>
      <c r="AC7" s="76" t="s">
        <v>29</v>
      </c>
      <c r="AD7" s="56">
        <f>IF('Ship Data Imperial'!E8&gt;0,'Ship Data Imperial'!E8,Standing!AN7)</f>
        <v>0</v>
      </c>
      <c r="AE7" s="230">
        <f t="shared" si="1"/>
        <v>0</v>
      </c>
      <c r="AF7" s="47">
        <f t="shared" si="2"/>
        <v>0</v>
      </c>
      <c r="AG7" s="231">
        <f t="shared" si="3"/>
        <v>0</v>
      </c>
      <c r="AH7" s="232">
        <f t="shared" si="4"/>
        <v>0</v>
      </c>
      <c r="AI7" s="230">
        <f t="shared" si="5"/>
        <v>0</v>
      </c>
      <c r="AJ7" s="233">
        <f t="shared" si="6"/>
        <v>0</v>
      </c>
      <c r="AK7" s="234">
        <f t="shared" si="7"/>
        <v>0</v>
      </c>
      <c r="AL7" s="228">
        <f t="shared" si="9"/>
        <v>0</v>
      </c>
      <c r="AM7" s="229">
        <f t="shared" si="8"/>
        <v>0</v>
      </c>
      <c r="AN7" s="56">
        <f>'Ship Data Metric'!E8*0.03280839895</f>
        <v>0</v>
      </c>
    </row>
    <row r="8">
      <c r="A8" s="51"/>
      <c r="B8" s="199" t="s">
        <v>214</v>
      </c>
      <c r="C8" s="217">
        <f>C26*0.44</f>
        <v>2.593141732</v>
      </c>
      <c r="D8" s="218">
        <f t="shared" si="10"/>
        <v>0.8254207195</v>
      </c>
      <c r="E8" s="121">
        <f t="shared" si="11"/>
        <v>65.8658</v>
      </c>
      <c r="F8" s="122">
        <f t="shared" si="12"/>
        <v>20.96568627</v>
      </c>
      <c r="G8" s="123">
        <f>C8/Introduction!$I$20</f>
        <v>0.02701189304</v>
      </c>
      <c r="H8" s="192">
        <f t="shared" si="13"/>
        <v>0.008598132494</v>
      </c>
      <c r="I8" s="124">
        <f>E8/Introduction!$I$20</f>
        <v>0.6861020833</v>
      </c>
      <c r="J8" s="125">
        <f t="shared" si="14"/>
        <v>0.2183925654</v>
      </c>
      <c r="K8" s="51"/>
      <c r="L8" s="241"/>
      <c r="M8" s="241"/>
      <c r="N8" s="51"/>
      <c r="O8" s="51"/>
      <c r="P8" s="51"/>
      <c r="Q8" s="51"/>
      <c r="R8" s="54"/>
      <c r="S8" s="54"/>
      <c r="T8" s="54"/>
      <c r="U8" s="54"/>
      <c r="V8" s="54"/>
      <c r="W8" s="54"/>
      <c r="X8" s="54"/>
      <c r="Y8" s="54"/>
      <c r="Z8" s="54"/>
      <c r="AA8" s="54"/>
      <c r="AB8" s="75" t="s">
        <v>30</v>
      </c>
      <c r="AC8" s="76" t="s">
        <v>24</v>
      </c>
      <c r="AD8" s="56">
        <f>IF('Ship Data Imperial'!E9&gt;0,'Ship Data Imperial'!E9,Standing!AN8)</f>
        <v>0</v>
      </c>
      <c r="AE8" s="230">
        <f t="shared" si="1"/>
        <v>0</v>
      </c>
      <c r="AF8" s="47">
        <f t="shared" si="2"/>
        <v>0</v>
      </c>
      <c r="AG8" s="231">
        <f t="shared" si="3"/>
        <v>0</v>
      </c>
      <c r="AH8" s="232">
        <f t="shared" si="4"/>
        <v>0</v>
      </c>
      <c r="AI8" s="230">
        <f t="shared" si="5"/>
        <v>0</v>
      </c>
      <c r="AJ8" s="233">
        <f t="shared" si="6"/>
        <v>0</v>
      </c>
      <c r="AK8" s="234">
        <f t="shared" si="7"/>
        <v>0</v>
      </c>
      <c r="AL8" s="228">
        <f>IF(AD8&gt;0,$C$49*0.8,0)</f>
        <v>0</v>
      </c>
      <c r="AM8" s="229">
        <f>IF(AD8&gt;0,3.25,0)</f>
        <v>0</v>
      </c>
      <c r="AN8" s="56">
        <f>'Ship Data Metric'!E9*0.03280839895</f>
        <v>0</v>
      </c>
    </row>
    <row r="9">
      <c r="A9" s="51"/>
      <c r="B9" s="199" t="s">
        <v>215</v>
      </c>
      <c r="C9" s="217">
        <f>C8*0.8</f>
        <v>2.074513386</v>
      </c>
      <c r="D9" s="218">
        <f t="shared" si="10"/>
        <v>0.6603365756</v>
      </c>
      <c r="E9" s="121">
        <f t="shared" si="11"/>
        <v>52.69264</v>
      </c>
      <c r="F9" s="122">
        <f t="shared" si="12"/>
        <v>16.77254902</v>
      </c>
      <c r="G9" s="123">
        <f>C9/Introduction!$I$20</f>
        <v>0.02160951444</v>
      </c>
      <c r="H9" s="192">
        <f t="shared" si="13"/>
        <v>0.006878505996</v>
      </c>
      <c r="I9" s="124">
        <f>E9/Introduction!$I$20</f>
        <v>0.5488816667</v>
      </c>
      <c r="J9" s="125">
        <f t="shared" si="14"/>
        <v>0.1747140523</v>
      </c>
      <c r="K9" s="51"/>
      <c r="L9" s="241"/>
      <c r="M9" s="241"/>
      <c r="N9" s="51"/>
      <c r="O9" s="51"/>
      <c r="P9" s="51"/>
      <c r="Q9" s="51"/>
      <c r="R9" s="54"/>
      <c r="S9" s="54"/>
      <c r="T9" s="54"/>
      <c r="U9" s="54"/>
      <c r="V9" s="54"/>
      <c r="W9" s="54"/>
      <c r="X9" s="54"/>
      <c r="Y9" s="54"/>
      <c r="Z9" s="54"/>
      <c r="AA9" s="54"/>
      <c r="AB9" s="75"/>
      <c r="AC9" s="76" t="s">
        <v>25</v>
      </c>
      <c r="AD9" s="56">
        <f>IF('Ship Data Imperial'!E10&gt;0,'Ship Data Imperial'!E10,Standing!AN9)</f>
        <v>0</v>
      </c>
      <c r="AE9" s="230">
        <f t="shared" si="1"/>
        <v>0</v>
      </c>
      <c r="AF9" s="47">
        <f t="shared" si="2"/>
        <v>0</v>
      </c>
      <c r="AG9" s="231">
        <f t="shared" si="3"/>
        <v>0</v>
      </c>
      <c r="AH9" s="232">
        <f t="shared" si="4"/>
        <v>0</v>
      </c>
      <c r="AI9" s="230">
        <f t="shared" si="5"/>
        <v>0</v>
      </c>
      <c r="AJ9" s="233">
        <f t="shared" si="6"/>
        <v>0</v>
      </c>
      <c r="AK9" s="234">
        <f t="shared" si="7"/>
        <v>0</v>
      </c>
      <c r="AL9" s="228">
        <f>IF(AD9&gt;0,$C$49*0.75,0)</f>
        <v>0</v>
      </c>
      <c r="AM9" s="229">
        <f t="shared" ref="AM9:AM13" si="15">IF(AD9&gt;0,3,0)</f>
        <v>0</v>
      </c>
      <c r="AN9" s="56">
        <f>'Ship Data Metric'!E10*0.03280839895</f>
        <v>0</v>
      </c>
    </row>
    <row r="10">
      <c r="A10" s="51"/>
      <c r="B10" s="199" t="s">
        <v>216</v>
      </c>
      <c r="C10" s="217">
        <f>C9*0.5</f>
        <v>1.037256693</v>
      </c>
      <c r="D10" s="218">
        <f t="shared" si="10"/>
        <v>0.3301682878</v>
      </c>
      <c r="E10" s="121">
        <f t="shared" si="11"/>
        <v>26.34632</v>
      </c>
      <c r="F10" s="122">
        <f t="shared" si="12"/>
        <v>8.38627451</v>
      </c>
      <c r="G10" s="123">
        <f>C10/Introduction!$I$20</f>
        <v>0.01080475722</v>
      </c>
      <c r="H10" s="192">
        <f t="shared" si="13"/>
        <v>0.003439252998</v>
      </c>
      <c r="I10" s="124">
        <f>E10/Introduction!$I$20</f>
        <v>0.2744408333</v>
      </c>
      <c r="J10" s="125">
        <f t="shared" si="14"/>
        <v>0.08735702614</v>
      </c>
      <c r="K10" s="51"/>
      <c r="L10" s="241"/>
      <c r="M10" s="241"/>
      <c r="N10" s="51"/>
      <c r="O10" s="51"/>
      <c r="P10" s="51"/>
      <c r="Q10" s="51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75"/>
      <c r="AC10" s="76" t="s">
        <v>26</v>
      </c>
      <c r="AD10" s="56">
        <f>IF('Ship Data Imperial'!E11&gt;0,'Ship Data Imperial'!E11,Standing!AN10)</f>
        <v>0</v>
      </c>
      <c r="AE10" s="230">
        <f t="shared" si="1"/>
        <v>0</v>
      </c>
      <c r="AF10" s="47">
        <f t="shared" si="2"/>
        <v>0</v>
      </c>
      <c r="AG10" s="231">
        <f t="shared" si="3"/>
        <v>0</v>
      </c>
      <c r="AH10" s="232">
        <f t="shared" si="4"/>
        <v>0</v>
      </c>
      <c r="AI10" s="230">
        <f t="shared" si="5"/>
        <v>0</v>
      </c>
      <c r="AJ10" s="233">
        <f t="shared" si="6"/>
        <v>0</v>
      </c>
      <c r="AK10" s="234">
        <f t="shared" si="7"/>
        <v>0</v>
      </c>
      <c r="AL10" s="228">
        <f t="shared" ref="AL10:AL13" si="16">IF(AD10&gt;0,$C$49*0.66,0)</f>
        <v>0</v>
      </c>
      <c r="AM10" s="229">
        <f t="shared" si="15"/>
        <v>0</v>
      </c>
      <c r="AN10" s="56">
        <f>'Ship Data Metric'!E11*0.03280839895</f>
        <v>0</v>
      </c>
    </row>
    <row r="11">
      <c r="A11" s="51"/>
      <c r="B11" s="195" t="s">
        <v>217</v>
      </c>
      <c r="C11" s="119">
        <f>IF(C7*0.6&gt;2,C7*0.6,2)</f>
        <v>2</v>
      </c>
      <c r="D11" s="120">
        <f t="shared" si="10"/>
        <v>0.6366182837</v>
      </c>
      <c r="E11" s="243">
        <f t="shared" si="11"/>
        <v>50.8</v>
      </c>
      <c r="F11" s="244">
        <f t="shared" si="12"/>
        <v>16.17010441</v>
      </c>
      <c r="G11" s="245">
        <f>C11/Introduction!$I$20</f>
        <v>0.02083333333</v>
      </c>
      <c r="H11" s="141">
        <f t="shared" si="13"/>
        <v>0.006631440455</v>
      </c>
      <c r="I11" s="246">
        <f>E11/Introduction!$I$20</f>
        <v>0.5291666667</v>
      </c>
      <c r="J11" s="247">
        <f t="shared" si="14"/>
        <v>0.1684385876</v>
      </c>
      <c r="K11" s="51"/>
      <c r="L11" s="241"/>
      <c r="M11" s="241"/>
      <c r="N11" s="51"/>
      <c r="O11" s="51"/>
      <c r="P11" s="51"/>
      <c r="Q11" s="51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75"/>
      <c r="AC11" s="76" t="s">
        <v>27</v>
      </c>
      <c r="AD11" s="56">
        <f>IF('Ship Data Imperial'!E12&gt;0,'Ship Data Imperial'!E12,Standing!AN11)</f>
        <v>0</v>
      </c>
      <c r="AE11" s="230">
        <f t="shared" si="1"/>
        <v>0</v>
      </c>
      <c r="AF11" s="47">
        <f t="shared" si="2"/>
        <v>0</v>
      </c>
      <c r="AG11" s="231">
        <f t="shared" si="3"/>
        <v>0</v>
      </c>
      <c r="AH11" s="232">
        <f t="shared" si="4"/>
        <v>0</v>
      </c>
      <c r="AI11" s="230">
        <f t="shared" si="5"/>
        <v>0</v>
      </c>
      <c r="AJ11" s="233">
        <f t="shared" si="6"/>
        <v>0</v>
      </c>
      <c r="AK11" s="234">
        <f t="shared" si="7"/>
        <v>0</v>
      </c>
      <c r="AL11" s="228">
        <f t="shared" si="16"/>
        <v>0</v>
      </c>
      <c r="AM11" s="229">
        <f t="shared" si="15"/>
        <v>0</v>
      </c>
      <c r="AN11" s="56">
        <f>'Ship Data Metric'!E12*0.03280839895</f>
        <v>0</v>
      </c>
    </row>
    <row r="12">
      <c r="A12" s="51"/>
      <c r="B12" s="195" t="s">
        <v>218</v>
      </c>
      <c r="C12" s="119">
        <f>C5/2</f>
        <v>1.473375984</v>
      </c>
      <c r="D12" s="120">
        <f t="shared" si="10"/>
        <v>0.4689890452</v>
      </c>
      <c r="E12" s="243">
        <f t="shared" si="11"/>
        <v>37.42375</v>
      </c>
      <c r="F12" s="244">
        <f t="shared" si="12"/>
        <v>11.91232175</v>
      </c>
      <c r="G12" s="245">
        <f>C12/Introduction!$I$20</f>
        <v>0.0153476665</v>
      </c>
      <c r="H12" s="141">
        <f t="shared" si="13"/>
        <v>0.004885302554</v>
      </c>
      <c r="I12" s="246">
        <f>E12/Introduction!$I$20</f>
        <v>0.3898307292</v>
      </c>
      <c r="J12" s="247">
        <f t="shared" si="14"/>
        <v>0.1240866849</v>
      </c>
      <c r="K12" s="51"/>
      <c r="L12" s="241"/>
      <c r="M12" s="241"/>
      <c r="N12" s="51"/>
      <c r="O12" s="51"/>
      <c r="P12" s="51"/>
      <c r="Q12" s="51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75"/>
      <c r="AC12" s="76" t="s">
        <v>28</v>
      </c>
      <c r="AD12" s="56">
        <f>IF('Ship Data Imperial'!E13&gt;0,'Ship Data Imperial'!E13,Standing!AN12)</f>
        <v>0</v>
      </c>
      <c r="AE12" s="230">
        <f t="shared" si="1"/>
        <v>0</v>
      </c>
      <c r="AF12" s="47">
        <f t="shared" si="2"/>
        <v>0</v>
      </c>
      <c r="AG12" s="231">
        <f t="shared" si="3"/>
        <v>0</v>
      </c>
      <c r="AH12" s="232">
        <f t="shared" si="4"/>
        <v>0</v>
      </c>
      <c r="AI12" s="230">
        <f t="shared" si="5"/>
        <v>0</v>
      </c>
      <c r="AJ12" s="233">
        <f t="shared" si="6"/>
        <v>0</v>
      </c>
      <c r="AK12" s="234">
        <f t="shared" si="7"/>
        <v>0</v>
      </c>
      <c r="AL12" s="228">
        <f t="shared" si="16"/>
        <v>0</v>
      </c>
      <c r="AM12" s="229">
        <f t="shared" si="15"/>
        <v>0</v>
      </c>
      <c r="AN12" s="56">
        <f>'Ship Data Metric'!E13*0.03280839895</f>
        <v>0</v>
      </c>
    </row>
    <row r="13">
      <c r="A13" s="51"/>
      <c r="B13" s="195" t="s">
        <v>219</v>
      </c>
      <c r="C13" s="119">
        <f>IF(C12/3&gt;1.5,C12/3,1.5)</f>
        <v>1.5</v>
      </c>
      <c r="D13" s="120">
        <f t="shared" si="10"/>
        <v>0.4774637128</v>
      </c>
      <c r="E13" s="243">
        <f t="shared" si="11"/>
        <v>38.1</v>
      </c>
      <c r="F13" s="244">
        <f t="shared" si="12"/>
        <v>12.1275783</v>
      </c>
      <c r="G13" s="245">
        <f>C13/Introduction!$I$20</f>
        <v>0.015625</v>
      </c>
      <c r="H13" s="141">
        <f t="shared" si="13"/>
        <v>0.004973580341</v>
      </c>
      <c r="I13" s="246">
        <f>E13/Introduction!$I$20</f>
        <v>0.396875</v>
      </c>
      <c r="J13" s="247">
        <f t="shared" si="14"/>
        <v>0.1263289407</v>
      </c>
      <c r="K13" s="51"/>
      <c r="L13" s="241"/>
      <c r="M13" s="241"/>
      <c r="N13" s="51"/>
      <c r="O13" s="51"/>
      <c r="P13" s="51"/>
      <c r="Q13" s="51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75"/>
      <c r="AC13" s="76" t="s">
        <v>29</v>
      </c>
      <c r="AD13" s="56">
        <f>IF('Ship Data Imperial'!E14&gt;0,'Ship Data Imperial'!E14,Standing!AN13)</f>
        <v>0</v>
      </c>
      <c r="AE13" s="230">
        <f t="shared" si="1"/>
        <v>0</v>
      </c>
      <c r="AF13" s="47">
        <f t="shared" si="2"/>
        <v>0</v>
      </c>
      <c r="AG13" s="231">
        <f t="shared" si="3"/>
        <v>0</v>
      </c>
      <c r="AH13" s="232">
        <f t="shared" si="4"/>
        <v>0</v>
      </c>
      <c r="AI13" s="230">
        <f t="shared" si="5"/>
        <v>0</v>
      </c>
      <c r="AJ13" s="233">
        <f t="shared" si="6"/>
        <v>0</v>
      </c>
      <c r="AK13" s="234">
        <f t="shared" si="7"/>
        <v>0</v>
      </c>
      <c r="AL13" s="228">
        <f t="shared" si="16"/>
        <v>0</v>
      </c>
      <c r="AM13" s="229">
        <f t="shared" si="15"/>
        <v>0</v>
      </c>
      <c r="AN13" s="56">
        <f>'Ship Data Metric'!E14*0.03280839895</f>
        <v>0</v>
      </c>
    </row>
    <row r="14">
      <c r="A14" s="51"/>
      <c r="B14" s="195" t="s">
        <v>220</v>
      </c>
      <c r="C14" s="119">
        <f>C5/2</f>
        <v>1.473375984</v>
      </c>
      <c r="D14" s="120">
        <f t="shared" si="10"/>
        <v>0.4689890452</v>
      </c>
      <c r="E14" s="243">
        <f t="shared" si="11"/>
        <v>37.42375</v>
      </c>
      <c r="F14" s="244">
        <f t="shared" si="12"/>
        <v>11.91232175</v>
      </c>
      <c r="G14" s="245">
        <f>C14/Introduction!$I$20</f>
        <v>0.0153476665</v>
      </c>
      <c r="H14" s="141">
        <f t="shared" si="13"/>
        <v>0.004885302554</v>
      </c>
      <c r="I14" s="246">
        <f>E14/Introduction!$I$20</f>
        <v>0.3898307292</v>
      </c>
      <c r="J14" s="247">
        <f t="shared" si="14"/>
        <v>0.1240866849</v>
      </c>
      <c r="K14" s="51"/>
      <c r="L14" s="241"/>
      <c r="M14" s="241"/>
      <c r="N14" s="51"/>
      <c r="O14" s="51"/>
      <c r="P14" s="51"/>
      <c r="Q14" s="51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75" t="s">
        <v>31</v>
      </c>
      <c r="AC14" s="76" t="s">
        <v>24</v>
      </c>
      <c r="AD14" s="56">
        <f>IF('Ship Data Imperial'!E15&gt;0,'Ship Data Imperial'!E15,Standing!AN14)</f>
        <v>0</v>
      </c>
      <c r="AE14" s="230">
        <f t="shared" ref="AE14:AE31" si="17">IF(AD14&gt;0,$C$75*0.8,0)</f>
        <v>0</v>
      </c>
      <c r="AF14" s="47">
        <f t="shared" si="2"/>
        <v>0</v>
      </c>
      <c r="AG14" s="231">
        <f t="shared" si="3"/>
        <v>0</v>
      </c>
      <c r="AH14" s="232">
        <f t="shared" ref="AH14:AH31" si="18">IF(AD14&gt;0,$C$77*0.8,0)</f>
        <v>0</v>
      </c>
      <c r="AI14" s="230">
        <f t="shared" si="5"/>
        <v>0</v>
      </c>
      <c r="AJ14" s="233">
        <f t="shared" si="6"/>
        <v>0</v>
      </c>
      <c r="AK14" s="234">
        <f t="shared" si="7"/>
        <v>0</v>
      </c>
      <c r="AL14" s="228">
        <f>IF(AD14&gt;0,$C$49*0.8,0)</f>
        <v>0</v>
      </c>
      <c r="AM14" s="229">
        <f>IF(AD14&gt;0,3.25,0)</f>
        <v>0</v>
      </c>
      <c r="AN14" s="56">
        <f>'Ship Data Metric'!E15*0.03280839895</f>
        <v>0</v>
      </c>
    </row>
    <row r="15">
      <c r="A15" s="51"/>
      <c r="B15" s="195" t="s">
        <v>221</v>
      </c>
      <c r="C15" s="119">
        <f>C32*0.75</f>
        <v>2.210063976</v>
      </c>
      <c r="D15" s="120">
        <f t="shared" si="10"/>
        <v>0.7034835677</v>
      </c>
      <c r="E15" s="243">
        <f t="shared" si="11"/>
        <v>56.135625</v>
      </c>
      <c r="F15" s="244">
        <f t="shared" si="12"/>
        <v>17.86848262</v>
      </c>
      <c r="G15" s="245">
        <f>C15/Introduction!$I$20</f>
        <v>0.02302149975</v>
      </c>
      <c r="H15" s="141">
        <f t="shared" si="13"/>
        <v>0.00732795383</v>
      </c>
      <c r="I15" s="246">
        <f>E15/Introduction!$I$20</f>
        <v>0.5847460937</v>
      </c>
      <c r="J15" s="247">
        <f t="shared" si="14"/>
        <v>0.1861300273</v>
      </c>
      <c r="K15" s="51"/>
      <c r="L15" s="241"/>
      <c r="M15" s="241"/>
      <c r="N15" s="51"/>
      <c r="O15" s="51"/>
      <c r="P15" s="51"/>
      <c r="Q15" s="51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75"/>
      <c r="AC15" s="76" t="s">
        <v>25</v>
      </c>
      <c r="AD15" s="56">
        <f>IF('Ship Data Imperial'!E16&gt;0,'Ship Data Imperial'!E16,Standing!AN15)</f>
        <v>0</v>
      </c>
      <c r="AE15" s="230">
        <f t="shared" si="17"/>
        <v>0</v>
      </c>
      <c r="AF15" s="47">
        <f t="shared" si="2"/>
        <v>0</v>
      </c>
      <c r="AG15" s="231">
        <f t="shared" si="3"/>
        <v>0</v>
      </c>
      <c r="AH15" s="232">
        <f t="shared" si="18"/>
        <v>0</v>
      </c>
      <c r="AI15" s="230">
        <f t="shared" si="5"/>
        <v>0</v>
      </c>
      <c r="AJ15" s="233">
        <f t="shared" si="6"/>
        <v>0</v>
      </c>
      <c r="AK15" s="234">
        <f t="shared" si="7"/>
        <v>0</v>
      </c>
      <c r="AL15" s="228">
        <f>IF(AD15&gt;0,$C$49*0.75,0)</f>
        <v>0</v>
      </c>
      <c r="AM15" s="229">
        <f t="shared" ref="AM15:AM19" si="19">IF(AD15&gt;0,3,0)</f>
        <v>0</v>
      </c>
      <c r="AN15" s="56">
        <f>'Ship Data Metric'!E16*0.03280839895</f>
        <v>0</v>
      </c>
    </row>
    <row r="16">
      <c r="A16" s="51"/>
      <c r="B16" s="195" t="s">
        <v>222</v>
      </c>
      <c r="C16" s="119">
        <f>IF(C15/2&gt;1.5,C15/2,1.5)</f>
        <v>1.5</v>
      </c>
      <c r="D16" s="120">
        <f t="shared" si="10"/>
        <v>0.4774637128</v>
      </c>
      <c r="E16" s="243">
        <f t="shared" si="11"/>
        <v>38.1</v>
      </c>
      <c r="F16" s="244">
        <f t="shared" si="12"/>
        <v>12.1275783</v>
      </c>
      <c r="G16" s="245">
        <f>C16/Introduction!$I$20</f>
        <v>0.015625</v>
      </c>
      <c r="H16" s="141">
        <f t="shared" si="13"/>
        <v>0.004973580341</v>
      </c>
      <c r="I16" s="246">
        <f>E16/Introduction!$I$20</f>
        <v>0.396875</v>
      </c>
      <c r="J16" s="247">
        <f t="shared" si="14"/>
        <v>0.1263289407</v>
      </c>
      <c r="K16" s="51"/>
      <c r="L16" s="241"/>
      <c r="M16" s="241"/>
      <c r="N16" s="51"/>
      <c r="O16" s="51"/>
      <c r="P16" s="51"/>
      <c r="Q16" s="51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75"/>
      <c r="AC16" s="76" t="s">
        <v>26</v>
      </c>
      <c r="AD16" s="56">
        <f>IF('Ship Data Imperial'!E17&gt;0,'Ship Data Imperial'!E17,Standing!AN16)</f>
        <v>0</v>
      </c>
      <c r="AE16" s="230">
        <f t="shared" si="17"/>
        <v>0</v>
      </c>
      <c r="AF16" s="47">
        <f t="shared" si="2"/>
        <v>0</v>
      </c>
      <c r="AG16" s="231">
        <f t="shared" si="3"/>
        <v>0</v>
      </c>
      <c r="AH16" s="232">
        <f t="shared" si="18"/>
        <v>0</v>
      </c>
      <c r="AI16" s="230">
        <f t="shared" si="5"/>
        <v>0</v>
      </c>
      <c r="AJ16" s="233">
        <f t="shared" si="6"/>
        <v>0</v>
      </c>
      <c r="AK16" s="234">
        <f t="shared" si="7"/>
        <v>0</v>
      </c>
      <c r="AL16" s="228">
        <f t="shared" ref="AL16:AL19" si="20">IF(AD16&gt;0,$C$49*0.66,0)</f>
        <v>0</v>
      </c>
      <c r="AM16" s="229">
        <f t="shared" si="19"/>
        <v>0</v>
      </c>
      <c r="AN16" s="56">
        <f>'Ship Data Metric'!E17*0.03280839895</f>
        <v>0</v>
      </c>
    </row>
    <row r="17">
      <c r="A17" s="51"/>
      <c r="B17" s="195" t="s">
        <v>223</v>
      </c>
      <c r="C17" s="119">
        <f>C10</f>
        <v>1.037256693</v>
      </c>
      <c r="D17" s="120">
        <f t="shared" si="10"/>
        <v>0.3301682878</v>
      </c>
      <c r="E17" s="243">
        <f t="shared" si="11"/>
        <v>26.34632</v>
      </c>
      <c r="F17" s="244">
        <f t="shared" si="12"/>
        <v>8.38627451</v>
      </c>
      <c r="G17" s="245">
        <f>C17/Introduction!$I$20</f>
        <v>0.01080475722</v>
      </c>
      <c r="H17" s="141">
        <f t="shared" si="13"/>
        <v>0.003439252998</v>
      </c>
      <c r="I17" s="246">
        <f>E17/Introduction!$I$20</f>
        <v>0.2744408333</v>
      </c>
      <c r="J17" s="247">
        <f t="shared" si="14"/>
        <v>0.08735702614</v>
      </c>
      <c r="K17" s="51"/>
      <c r="L17" s="241"/>
      <c r="M17" s="241"/>
      <c r="N17" s="51"/>
      <c r="O17" s="51"/>
      <c r="P17" s="51"/>
      <c r="Q17" s="51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75"/>
      <c r="AC17" s="76" t="s">
        <v>27</v>
      </c>
      <c r="AD17" s="56">
        <f>IF('Ship Data Imperial'!E18&gt;0,'Ship Data Imperial'!E18,Standing!AN17)</f>
        <v>0</v>
      </c>
      <c r="AE17" s="230">
        <f t="shared" si="17"/>
        <v>0</v>
      </c>
      <c r="AF17" s="47">
        <f t="shared" si="2"/>
        <v>0</v>
      </c>
      <c r="AG17" s="231">
        <f t="shared" si="3"/>
        <v>0</v>
      </c>
      <c r="AH17" s="232">
        <f t="shared" si="18"/>
        <v>0</v>
      </c>
      <c r="AI17" s="230">
        <f t="shared" si="5"/>
        <v>0</v>
      </c>
      <c r="AJ17" s="233">
        <f t="shared" si="6"/>
        <v>0</v>
      </c>
      <c r="AK17" s="234">
        <f t="shared" si="7"/>
        <v>0</v>
      </c>
      <c r="AL17" s="228">
        <f t="shared" si="20"/>
        <v>0</v>
      </c>
      <c r="AM17" s="229">
        <f t="shared" si="19"/>
        <v>0</v>
      </c>
      <c r="AN17" s="56">
        <f>'Ship Data Metric'!E18*0.03280839895</f>
        <v>0</v>
      </c>
    </row>
    <row r="18">
      <c r="A18" s="51"/>
      <c r="B18" s="195" t="s">
        <v>224</v>
      </c>
      <c r="C18" s="119">
        <f>IF(C15/3&gt;1.5,C15/3,1.5)</f>
        <v>1.5</v>
      </c>
      <c r="D18" s="120">
        <f t="shared" si="10"/>
        <v>0.4774637128</v>
      </c>
      <c r="E18" s="243">
        <f t="shared" si="11"/>
        <v>38.1</v>
      </c>
      <c r="F18" s="244">
        <f t="shared" si="12"/>
        <v>12.1275783</v>
      </c>
      <c r="G18" s="245">
        <f>C18/Introduction!$I$20</f>
        <v>0.015625</v>
      </c>
      <c r="H18" s="141">
        <f t="shared" si="13"/>
        <v>0.004973580341</v>
      </c>
      <c r="I18" s="246">
        <f>E18/Introduction!$I$20</f>
        <v>0.396875</v>
      </c>
      <c r="J18" s="247">
        <f t="shared" si="14"/>
        <v>0.1263289407</v>
      </c>
      <c r="K18" s="51"/>
      <c r="L18" s="241"/>
      <c r="M18" s="241"/>
      <c r="N18" s="51"/>
      <c r="O18" s="51"/>
      <c r="P18" s="51"/>
      <c r="Q18" s="51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75"/>
      <c r="AC18" s="76" t="s">
        <v>28</v>
      </c>
      <c r="AD18" s="56">
        <f>IF('Ship Data Imperial'!E19&gt;0,'Ship Data Imperial'!E19,Standing!AN18)</f>
        <v>0</v>
      </c>
      <c r="AE18" s="230">
        <f t="shared" si="17"/>
        <v>0</v>
      </c>
      <c r="AF18" s="47">
        <f t="shared" si="2"/>
        <v>0</v>
      </c>
      <c r="AG18" s="231">
        <f t="shared" si="3"/>
        <v>0</v>
      </c>
      <c r="AH18" s="232">
        <f t="shared" si="18"/>
        <v>0</v>
      </c>
      <c r="AI18" s="230">
        <f t="shared" si="5"/>
        <v>0</v>
      </c>
      <c r="AJ18" s="233">
        <f t="shared" si="6"/>
        <v>0</v>
      </c>
      <c r="AK18" s="234">
        <f t="shared" si="7"/>
        <v>0</v>
      </c>
      <c r="AL18" s="228">
        <f t="shared" si="20"/>
        <v>0</v>
      </c>
      <c r="AM18" s="229">
        <f t="shared" si="19"/>
        <v>0</v>
      </c>
      <c r="AN18" s="56">
        <f>'Ship Data Metric'!E19*0.03280839895</f>
        <v>0</v>
      </c>
    </row>
    <row r="19">
      <c r="A19" s="51"/>
      <c r="B19" s="195" t="s">
        <v>225</v>
      </c>
      <c r="C19" s="119">
        <f>C18</f>
        <v>1.5</v>
      </c>
      <c r="D19" s="120">
        <f t="shared" si="10"/>
        <v>0.4774637128</v>
      </c>
      <c r="E19" s="243">
        <f t="shared" si="11"/>
        <v>38.1</v>
      </c>
      <c r="F19" s="244">
        <f t="shared" si="12"/>
        <v>12.1275783</v>
      </c>
      <c r="G19" s="245">
        <f>C19/Introduction!$I$20</f>
        <v>0.015625</v>
      </c>
      <c r="H19" s="141">
        <f t="shared" si="13"/>
        <v>0.004973580341</v>
      </c>
      <c r="I19" s="246">
        <f>E19/Introduction!$I$20</f>
        <v>0.396875</v>
      </c>
      <c r="J19" s="247">
        <f t="shared" si="14"/>
        <v>0.1263289407</v>
      </c>
      <c r="K19" s="51"/>
      <c r="L19" s="241"/>
      <c r="M19" s="241"/>
      <c r="N19" s="51"/>
      <c r="O19" s="51"/>
      <c r="P19" s="51"/>
      <c r="Q19" s="51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75"/>
      <c r="AC19" s="76" t="s">
        <v>29</v>
      </c>
      <c r="AD19" s="56">
        <f>IF('Ship Data Imperial'!E20&gt;0,'Ship Data Imperial'!E20,Standing!AN19)</f>
        <v>0</v>
      </c>
      <c r="AE19" s="230">
        <f t="shared" si="17"/>
        <v>0</v>
      </c>
      <c r="AF19" s="47">
        <f t="shared" si="2"/>
        <v>0</v>
      </c>
      <c r="AG19" s="231">
        <f t="shared" si="3"/>
        <v>0</v>
      </c>
      <c r="AH19" s="232">
        <f t="shared" si="18"/>
        <v>0</v>
      </c>
      <c r="AI19" s="230">
        <f t="shared" si="5"/>
        <v>0</v>
      </c>
      <c r="AJ19" s="233">
        <f t="shared" si="6"/>
        <v>0</v>
      </c>
      <c r="AK19" s="234">
        <f t="shared" si="7"/>
        <v>0</v>
      </c>
      <c r="AL19" s="228">
        <f t="shared" si="20"/>
        <v>0</v>
      </c>
      <c r="AM19" s="229">
        <f t="shared" si="19"/>
        <v>0</v>
      </c>
      <c r="AN19" s="56">
        <f>'Ship Data Metric'!E20*0.03280839895</f>
        <v>0</v>
      </c>
    </row>
    <row r="20">
      <c r="A20" s="51"/>
      <c r="B20" s="195" t="s">
        <v>226</v>
      </c>
      <c r="C20" s="119">
        <f>C14</f>
        <v>1.473375984</v>
      </c>
      <c r="D20" s="120">
        <f t="shared" si="10"/>
        <v>0.4689890452</v>
      </c>
      <c r="E20" s="243">
        <f t="shared" si="11"/>
        <v>37.42375</v>
      </c>
      <c r="F20" s="244">
        <f t="shared" si="12"/>
        <v>11.91232175</v>
      </c>
      <c r="G20" s="245">
        <f>C20/Introduction!$I$20</f>
        <v>0.0153476665</v>
      </c>
      <c r="H20" s="141">
        <f t="shared" si="13"/>
        <v>0.004885302554</v>
      </c>
      <c r="I20" s="246">
        <f>E20/Introduction!$I$20</f>
        <v>0.3898307292</v>
      </c>
      <c r="J20" s="247">
        <f t="shared" si="14"/>
        <v>0.1240866849</v>
      </c>
      <c r="K20" s="51"/>
      <c r="L20" s="241"/>
      <c r="M20" s="241"/>
      <c r="N20" s="51"/>
      <c r="O20" s="51"/>
      <c r="P20" s="51"/>
      <c r="Q20" s="51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75" t="s">
        <v>32</v>
      </c>
      <c r="AC20" s="76" t="s">
        <v>24</v>
      </c>
      <c r="AD20" s="56">
        <f>IF('Ship Data Imperial'!E21&gt;0,'Ship Data Imperial'!E21,Standing!AN20)</f>
        <v>0</v>
      </c>
      <c r="AE20" s="230">
        <f t="shared" si="17"/>
        <v>0</v>
      </c>
      <c r="AF20" s="47">
        <f t="shared" si="2"/>
        <v>0</v>
      </c>
      <c r="AG20" s="231">
        <f t="shared" si="3"/>
        <v>0</v>
      </c>
      <c r="AH20" s="232">
        <f t="shared" si="18"/>
        <v>0</v>
      </c>
      <c r="AI20" s="230">
        <f t="shared" si="5"/>
        <v>0</v>
      </c>
      <c r="AJ20" s="233">
        <f t="shared" si="6"/>
        <v>0</v>
      </c>
      <c r="AK20" s="234">
        <f t="shared" si="7"/>
        <v>0</v>
      </c>
      <c r="AL20" s="228">
        <f>IF(AD20&gt;0,$C$49*0.8,0)</f>
        <v>0</v>
      </c>
      <c r="AM20" s="229">
        <f>IF(AD20&gt;0,3.25,0)</f>
        <v>0</v>
      </c>
      <c r="AN20" s="56">
        <f>'Ship Data Metric'!E21*0.03280839895</f>
        <v>0</v>
      </c>
    </row>
    <row r="21" ht="15.75" customHeight="1">
      <c r="A21" s="51"/>
      <c r="B21" s="195" t="s">
        <v>227</v>
      </c>
      <c r="C21" s="119">
        <f>C149</f>
        <v>1.853506988</v>
      </c>
      <c r="D21" s="120">
        <f t="shared" si="10"/>
        <v>0.5899882188</v>
      </c>
      <c r="E21" s="243">
        <f t="shared" si="11"/>
        <v>47.0790775</v>
      </c>
      <c r="F21" s="244">
        <f t="shared" si="12"/>
        <v>14.98570076</v>
      </c>
      <c r="G21" s="245">
        <f>C21/Introduction!$I$20</f>
        <v>0.01930736446</v>
      </c>
      <c r="H21" s="141">
        <f t="shared" si="13"/>
        <v>0.006145710612</v>
      </c>
      <c r="I21" s="246">
        <f>E21/Introduction!$I$20</f>
        <v>0.4904070573</v>
      </c>
      <c r="J21" s="247">
        <f t="shared" si="14"/>
        <v>0.1561010496</v>
      </c>
      <c r="K21" s="51"/>
      <c r="L21" s="241"/>
      <c r="M21" s="241"/>
      <c r="N21" s="51"/>
      <c r="O21" s="51"/>
      <c r="P21" s="51"/>
      <c r="Q21" s="51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75"/>
      <c r="AC21" s="76" t="s">
        <v>25</v>
      </c>
      <c r="AD21" s="56">
        <f>IF('Ship Data Imperial'!E22&gt;0,'Ship Data Imperial'!E22,Standing!AN21)</f>
        <v>0</v>
      </c>
      <c r="AE21" s="230">
        <f t="shared" si="17"/>
        <v>0</v>
      </c>
      <c r="AF21" s="47">
        <f t="shared" si="2"/>
        <v>0</v>
      </c>
      <c r="AG21" s="231">
        <f t="shared" si="3"/>
        <v>0</v>
      </c>
      <c r="AH21" s="232">
        <f t="shared" si="18"/>
        <v>0</v>
      </c>
      <c r="AI21" s="230">
        <f t="shared" si="5"/>
        <v>0</v>
      </c>
      <c r="AJ21" s="233">
        <f t="shared" si="6"/>
        <v>0</v>
      </c>
      <c r="AK21" s="234">
        <f t="shared" si="7"/>
        <v>0</v>
      </c>
      <c r="AL21" s="228">
        <f>IF(AD21&gt;0,$C$49*0.75,0)</f>
        <v>0</v>
      </c>
      <c r="AM21" s="229">
        <f t="shared" ref="AM21:AM31" si="21">IF(AD21&gt;0,3,0)</f>
        <v>0</v>
      </c>
      <c r="AN21" s="56">
        <f>'Ship Data Metric'!E22*0.03280839895</f>
        <v>0</v>
      </c>
    </row>
    <row r="22" ht="15.75" customHeight="1">
      <c r="A22" s="51"/>
      <c r="B22" s="195" t="s">
        <v>228</v>
      </c>
      <c r="C22" s="119">
        <f>C21</f>
        <v>1.853506988</v>
      </c>
      <c r="D22" s="120">
        <f t="shared" si="10"/>
        <v>0.5899882188</v>
      </c>
      <c r="E22" s="243">
        <f t="shared" si="11"/>
        <v>47.0790775</v>
      </c>
      <c r="F22" s="244">
        <f t="shared" si="12"/>
        <v>14.98570076</v>
      </c>
      <c r="G22" s="245">
        <f>C22/Introduction!$I$20</f>
        <v>0.01930736446</v>
      </c>
      <c r="H22" s="141">
        <f t="shared" si="13"/>
        <v>0.006145710612</v>
      </c>
      <c r="I22" s="246">
        <f>E22/Introduction!$I$20</f>
        <v>0.4904070573</v>
      </c>
      <c r="J22" s="247">
        <f t="shared" si="14"/>
        <v>0.1561010496</v>
      </c>
      <c r="K22" s="51"/>
      <c r="L22" s="241"/>
      <c r="M22" s="241"/>
      <c r="N22" s="51"/>
      <c r="O22" s="51"/>
      <c r="P22" s="51"/>
      <c r="Q22" s="51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75"/>
      <c r="AC22" s="76" t="s">
        <v>26</v>
      </c>
      <c r="AD22" s="56">
        <f>IF('Ship Data Imperial'!E23&gt;0,'Ship Data Imperial'!E23,Standing!AN22)</f>
        <v>0</v>
      </c>
      <c r="AE22" s="230">
        <f t="shared" si="17"/>
        <v>0</v>
      </c>
      <c r="AF22" s="47">
        <f t="shared" si="2"/>
        <v>0</v>
      </c>
      <c r="AG22" s="231">
        <f t="shared" si="3"/>
        <v>0</v>
      </c>
      <c r="AH22" s="232">
        <f t="shared" si="18"/>
        <v>0</v>
      </c>
      <c r="AI22" s="230">
        <f t="shared" si="5"/>
        <v>0</v>
      </c>
      <c r="AJ22" s="233">
        <f t="shared" si="6"/>
        <v>0</v>
      </c>
      <c r="AK22" s="234">
        <f t="shared" si="7"/>
        <v>0</v>
      </c>
      <c r="AL22" s="228">
        <f t="shared" ref="AL22:AL31" si="22">IF(AD22&gt;0,$C$49*0.66,0)</f>
        <v>0</v>
      </c>
      <c r="AM22" s="229">
        <f t="shared" si="21"/>
        <v>0</v>
      </c>
      <c r="AN22" s="56">
        <f>'Ship Data Metric'!E23*0.03280839895</f>
        <v>0</v>
      </c>
    </row>
    <row r="23" ht="15.75" customHeight="1">
      <c r="A23" s="51"/>
      <c r="B23" s="195" t="s">
        <v>229</v>
      </c>
      <c r="C23" s="119">
        <f>C21</f>
        <v>1.853506988</v>
      </c>
      <c r="D23" s="120">
        <f t="shared" si="10"/>
        <v>0.5899882188</v>
      </c>
      <c r="E23" s="243">
        <f t="shared" si="11"/>
        <v>47.0790775</v>
      </c>
      <c r="F23" s="244">
        <f t="shared" si="12"/>
        <v>14.98570076</v>
      </c>
      <c r="G23" s="245">
        <f>C23/Introduction!$I$20</f>
        <v>0.01930736446</v>
      </c>
      <c r="H23" s="141">
        <f t="shared" si="13"/>
        <v>0.006145710612</v>
      </c>
      <c r="I23" s="246">
        <f>E23/Introduction!$I$20</f>
        <v>0.4904070573</v>
      </c>
      <c r="J23" s="247">
        <f t="shared" si="14"/>
        <v>0.1561010496</v>
      </c>
      <c r="K23" s="51"/>
      <c r="L23" s="241"/>
      <c r="M23" s="241"/>
      <c r="N23" s="51"/>
      <c r="O23" s="51"/>
      <c r="P23" s="51"/>
      <c r="Q23" s="51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75"/>
      <c r="AC23" s="76" t="s">
        <v>27</v>
      </c>
      <c r="AD23" s="56">
        <f>IF('Ship Data Imperial'!E24&gt;0,'Ship Data Imperial'!E24,Standing!AN23)</f>
        <v>0</v>
      </c>
      <c r="AE23" s="230">
        <f t="shared" si="17"/>
        <v>0</v>
      </c>
      <c r="AF23" s="47">
        <f t="shared" si="2"/>
        <v>0</v>
      </c>
      <c r="AG23" s="231">
        <f t="shared" si="3"/>
        <v>0</v>
      </c>
      <c r="AH23" s="232">
        <f t="shared" si="18"/>
        <v>0</v>
      </c>
      <c r="AI23" s="230">
        <f t="shared" si="5"/>
        <v>0</v>
      </c>
      <c r="AJ23" s="233">
        <f t="shared" si="6"/>
        <v>0</v>
      </c>
      <c r="AK23" s="234">
        <f t="shared" si="7"/>
        <v>0</v>
      </c>
      <c r="AL23" s="228">
        <f t="shared" si="22"/>
        <v>0</v>
      </c>
      <c r="AM23" s="229">
        <f t="shared" si="21"/>
        <v>0</v>
      </c>
      <c r="AN23" s="56">
        <f>'Ship Data Metric'!E24*0.03280839895</f>
        <v>0</v>
      </c>
    </row>
    <row r="24" ht="15.75" customHeight="1">
      <c r="A24" s="51"/>
      <c r="B24" s="195" t="s">
        <v>230</v>
      </c>
      <c r="C24" s="119">
        <f>C21*0.8</f>
        <v>1.482805591</v>
      </c>
      <c r="D24" s="120">
        <f t="shared" si="10"/>
        <v>0.471990575</v>
      </c>
      <c r="E24" s="243">
        <f t="shared" si="11"/>
        <v>37.663262</v>
      </c>
      <c r="F24" s="244">
        <f t="shared" si="12"/>
        <v>11.98856061</v>
      </c>
      <c r="G24" s="245">
        <f>C24/Introduction!$I$20</f>
        <v>0.01544589157</v>
      </c>
      <c r="H24" s="141">
        <f t="shared" si="13"/>
        <v>0.00491656849</v>
      </c>
      <c r="I24" s="246">
        <f>E24/Introduction!$I$20</f>
        <v>0.3923256458</v>
      </c>
      <c r="J24" s="247">
        <f t="shared" si="14"/>
        <v>0.1248808396</v>
      </c>
      <c r="K24" s="51"/>
      <c r="L24" s="241"/>
      <c r="M24" s="241"/>
      <c r="N24" s="51"/>
      <c r="O24" s="51"/>
      <c r="P24" s="51"/>
      <c r="Q24" s="51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75"/>
      <c r="AC24" s="76" t="s">
        <v>28</v>
      </c>
      <c r="AD24" s="56">
        <f>IF('Ship Data Imperial'!E25&gt;0,'Ship Data Imperial'!E25,Standing!AN24)</f>
        <v>0</v>
      </c>
      <c r="AE24" s="230">
        <f t="shared" si="17"/>
        <v>0</v>
      </c>
      <c r="AF24" s="47">
        <f t="shared" si="2"/>
        <v>0</v>
      </c>
      <c r="AG24" s="231">
        <f t="shared" si="3"/>
        <v>0</v>
      </c>
      <c r="AH24" s="232">
        <f t="shared" si="18"/>
        <v>0</v>
      </c>
      <c r="AI24" s="230">
        <f t="shared" si="5"/>
        <v>0</v>
      </c>
      <c r="AJ24" s="233">
        <f t="shared" si="6"/>
        <v>0</v>
      </c>
      <c r="AK24" s="234">
        <f t="shared" si="7"/>
        <v>0</v>
      </c>
      <c r="AL24" s="228">
        <f t="shared" si="22"/>
        <v>0</v>
      </c>
      <c r="AM24" s="229">
        <f t="shared" si="21"/>
        <v>0</v>
      </c>
      <c r="AN24" s="56">
        <f>'Ship Data Metric'!E25*0.03280839895</f>
        <v>0</v>
      </c>
    </row>
    <row r="25" ht="15.75" customHeight="1">
      <c r="A25" s="51"/>
      <c r="B25" s="198" t="s">
        <v>231</v>
      </c>
      <c r="C25" s="185">
        <f>C24</f>
        <v>1.482805591</v>
      </c>
      <c r="D25" s="128">
        <f t="shared" si="10"/>
        <v>0.471990575</v>
      </c>
      <c r="E25" s="248">
        <f t="shared" si="11"/>
        <v>37.663262</v>
      </c>
      <c r="F25" s="130">
        <f t="shared" si="12"/>
        <v>11.98856061</v>
      </c>
      <c r="G25" s="186">
        <f>C25/Introduction!$I$20</f>
        <v>0.01544589157</v>
      </c>
      <c r="H25" s="187">
        <f t="shared" si="13"/>
        <v>0.00491656849</v>
      </c>
      <c r="I25" s="188">
        <f>E25/Introduction!$I$20</f>
        <v>0.3923256458</v>
      </c>
      <c r="J25" s="135">
        <f t="shared" si="14"/>
        <v>0.1248808396</v>
      </c>
      <c r="K25" s="51"/>
      <c r="L25" s="241"/>
      <c r="M25" s="241"/>
      <c r="N25" s="51"/>
      <c r="O25" s="51"/>
      <c r="P25" s="51"/>
      <c r="Q25" s="51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75"/>
      <c r="AC25" s="76" t="s">
        <v>29</v>
      </c>
      <c r="AD25" s="56">
        <f>IF('Ship Data Imperial'!E26&gt;0,'Ship Data Imperial'!E26,Standing!AN25)</f>
        <v>0</v>
      </c>
      <c r="AE25" s="230">
        <f t="shared" si="17"/>
        <v>0</v>
      </c>
      <c r="AF25" s="47">
        <f t="shared" si="2"/>
        <v>0</v>
      </c>
      <c r="AG25" s="231">
        <f t="shared" si="3"/>
        <v>0</v>
      </c>
      <c r="AH25" s="232">
        <f t="shared" si="18"/>
        <v>0</v>
      </c>
      <c r="AI25" s="230">
        <f t="shared" si="5"/>
        <v>0</v>
      </c>
      <c r="AJ25" s="233">
        <f t="shared" si="6"/>
        <v>0</v>
      </c>
      <c r="AK25" s="234">
        <f t="shared" si="7"/>
        <v>0</v>
      </c>
      <c r="AL25" s="228">
        <f t="shared" si="22"/>
        <v>0</v>
      </c>
      <c r="AM25" s="229">
        <f t="shared" si="21"/>
        <v>0</v>
      </c>
      <c r="AN25" s="56">
        <f>'Ship Data Metric'!E26*0.03280839895</f>
        <v>0</v>
      </c>
    </row>
    <row r="26" ht="15.75" customHeight="1">
      <c r="A26" s="51"/>
      <c r="B26" s="194" t="s">
        <v>232</v>
      </c>
      <c r="C26" s="179">
        <f>Masts!D9/2</f>
        <v>5.893503937</v>
      </c>
      <c r="D26" s="110">
        <f t="shared" si="10"/>
        <v>1.875956181</v>
      </c>
      <c r="E26" s="111">
        <f t="shared" si="11"/>
        <v>149.695</v>
      </c>
      <c r="F26" s="112">
        <f t="shared" si="12"/>
        <v>47.64928699</v>
      </c>
      <c r="G26" s="113">
        <f>C26/Introduction!$I$20</f>
        <v>0.06139066601</v>
      </c>
      <c r="H26" s="137">
        <f t="shared" si="13"/>
        <v>0.01954121021</v>
      </c>
      <c r="I26" s="115">
        <f>E26/Introduction!$I$20</f>
        <v>1.559322917</v>
      </c>
      <c r="J26" s="142">
        <f t="shared" si="14"/>
        <v>0.4963467395</v>
      </c>
      <c r="K26" s="51"/>
      <c r="L26" s="51"/>
      <c r="M26" s="51"/>
      <c r="N26" s="51"/>
      <c r="O26" s="51"/>
      <c r="P26" s="51"/>
      <c r="Q26" s="51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75" t="s">
        <v>33</v>
      </c>
      <c r="AC26" s="76" t="s">
        <v>24</v>
      </c>
      <c r="AD26" s="56">
        <f>IF('Ship Data Imperial'!E27&gt;0,'Ship Data Imperial'!E27,Standing!AN26)</f>
        <v>0</v>
      </c>
      <c r="AE26" s="230">
        <f t="shared" si="17"/>
        <v>0</v>
      </c>
      <c r="AF26" s="47">
        <f t="shared" si="2"/>
        <v>0</v>
      </c>
      <c r="AG26" s="231">
        <f t="shared" si="3"/>
        <v>0</v>
      </c>
      <c r="AH26" s="232">
        <f t="shared" si="18"/>
        <v>0</v>
      </c>
      <c r="AI26" s="230">
        <f t="shared" si="5"/>
        <v>0</v>
      </c>
      <c r="AJ26" s="233">
        <f t="shared" si="6"/>
        <v>0</v>
      </c>
      <c r="AK26" s="234">
        <f t="shared" si="7"/>
        <v>0</v>
      </c>
      <c r="AL26" s="228">
        <f t="shared" si="22"/>
        <v>0</v>
      </c>
      <c r="AM26" s="229">
        <f t="shared" si="21"/>
        <v>0</v>
      </c>
      <c r="AN26" s="56">
        <f>'Ship Data Metric'!E27*0.03280839895</f>
        <v>0</v>
      </c>
    </row>
    <row r="27" ht="15.75" customHeight="1">
      <c r="A27" s="51"/>
      <c r="B27" s="195" t="s">
        <v>233</v>
      </c>
      <c r="C27" s="189">
        <f>AF136</f>
        <v>2.946751968</v>
      </c>
      <c r="D27" s="120">
        <f t="shared" si="10"/>
        <v>0.9379780903</v>
      </c>
      <c r="E27" s="249">
        <f t="shared" si="11"/>
        <v>74.8475</v>
      </c>
      <c r="F27" s="244">
        <f t="shared" si="12"/>
        <v>23.82464349</v>
      </c>
      <c r="G27" s="123">
        <f>C27/Introduction!$I$20</f>
        <v>0.03069533301</v>
      </c>
      <c r="H27" s="141">
        <f t="shared" si="13"/>
        <v>0.009770605107</v>
      </c>
      <c r="I27" s="124">
        <f>E27/Introduction!$I$20</f>
        <v>0.7796614583</v>
      </c>
      <c r="J27" s="247">
        <f t="shared" si="14"/>
        <v>0.2481733697</v>
      </c>
      <c r="K27" s="51"/>
      <c r="L27" s="51"/>
      <c r="M27" s="51"/>
      <c r="N27" s="51"/>
      <c r="O27" s="51"/>
      <c r="P27" s="51"/>
      <c r="Q27" s="51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75"/>
      <c r="AC27" s="76" t="s">
        <v>25</v>
      </c>
      <c r="AD27" s="56">
        <f>IF('Ship Data Imperial'!E28&gt;0,'Ship Data Imperial'!E28,Standing!AN27)</f>
        <v>0</v>
      </c>
      <c r="AE27" s="230">
        <f t="shared" si="17"/>
        <v>0</v>
      </c>
      <c r="AF27" s="47">
        <f t="shared" si="2"/>
        <v>0</v>
      </c>
      <c r="AG27" s="231">
        <f t="shared" si="3"/>
        <v>0</v>
      </c>
      <c r="AH27" s="232">
        <f t="shared" si="18"/>
        <v>0</v>
      </c>
      <c r="AI27" s="230">
        <f t="shared" si="5"/>
        <v>0</v>
      </c>
      <c r="AJ27" s="233">
        <f t="shared" si="6"/>
        <v>0</v>
      </c>
      <c r="AK27" s="234">
        <f t="shared" si="7"/>
        <v>0</v>
      </c>
      <c r="AL27" s="228">
        <f t="shared" si="22"/>
        <v>0</v>
      </c>
      <c r="AM27" s="229">
        <f t="shared" si="21"/>
        <v>0</v>
      </c>
      <c r="AN27" s="56">
        <f>'Ship Data Metric'!E28*0.03280839895</f>
        <v>0</v>
      </c>
    </row>
    <row r="28" ht="15.75" customHeight="1">
      <c r="A28" s="51"/>
      <c r="B28" s="195" t="s">
        <v>234</v>
      </c>
      <c r="C28" s="189">
        <f>AI136</f>
        <v>4.125452756</v>
      </c>
      <c r="D28" s="120">
        <f t="shared" si="10"/>
        <v>1.313169326</v>
      </c>
      <c r="E28" s="249">
        <f t="shared" si="11"/>
        <v>104.7865</v>
      </c>
      <c r="F28" s="244">
        <f t="shared" si="12"/>
        <v>33.35450089</v>
      </c>
      <c r="G28" s="123">
        <f>C28/Introduction!$I$20</f>
        <v>0.04297346621</v>
      </c>
      <c r="H28" s="141">
        <f t="shared" si="13"/>
        <v>0.01367884715</v>
      </c>
      <c r="I28" s="124">
        <f>E28/Introduction!$I$20</f>
        <v>1.091526042</v>
      </c>
      <c r="J28" s="247">
        <f t="shared" si="14"/>
        <v>0.3474427176</v>
      </c>
      <c r="K28" s="51"/>
      <c r="L28" s="51"/>
      <c r="M28" s="51"/>
      <c r="N28" s="51"/>
      <c r="O28" s="51"/>
      <c r="P28" s="51"/>
      <c r="Q28" s="51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75"/>
      <c r="AC28" s="76" t="s">
        <v>26</v>
      </c>
      <c r="AD28" s="56">
        <f>IF('Ship Data Imperial'!E29&gt;0,'Ship Data Imperial'!E29,Standing!AN28)</f>
        <v>0</v>
      </c>
      <c r="AE28" s="230">
        <f t="shared" si="17"/>
        <v>0</v>
      </c>
      <c r="AF28" s="47">
        <f t="shared" si="2"/>
        <v>0</v>
      </c>
      <c r="AG28" s="231">
        <f t="shared" si="3"/>
        <v>0</v>
      </c>
      <c r="AH28" s="232">
        <f t="shared" si="18"/>
        <v>0</v>
      </c>
      <c r="AI28" s="230">
        <f t="shared" si="5"/>
        <v>0</v>
      </c>
      <c r="AJ28" s="233">
        <f t="shared" si="6"/>
        <v>0</v>
      </c>
      <c r="AK28" s="234">
        <f t="shared" si="7"/>
        <v>0</v>
      </c>
      <c r="AL28" s="228">
        <f t="shared" si="22"/>
        <v>0</v>
      </c>
      <c r="AM28" s="229">
        <f t="shared" si="21"/>
        <v>0</v>
      </c>
      <c r="AN28" s="56">
        <f>'Ship Data Metric'!E29*0.03280839895</f>
        <v>0</v>
      </c>
    </row>
    <row r="29" ht="15.75" customHeight="1">
      <c r="A29" s="51"/>
      <c r="B29" s="195" t="s">
        <v>235</v>
      </c>
      <c r="C29" s="189">
        <f>AJ136</f>
        <v>2.062726378</v>
      </c>
      <c r="D29" s="120">
        <f t="shared" si="10"/>
        <v>0.6565846632</v>
      </c>
      <c r="E29" s="249">
        <f t="shared" si="11"/>
        <v>52.39325</v>
      </c>
      <c r="F29" s="244">
        <f t="shared" si="12"/>
        <v>16.67725045</v>
      </c>
      <c r="G29" s="123">
        <f>C29/Introduction!$I$20</f>
        <v>0.0214867331</v>
      </c>
      <c r="H29" s="141">
        <f t="shared" si="13"/>
        <v>0.006839423575</v>
      </c>
      <c r="I29" s="124">
        <f>E29/Introduction!$I$20</f>
        <v>0.5457630208</v>
      </c>
      <c r="J29" s="247">
        <f t="shared" si="14"/>
        <v>0.1737213588</v>
      </c>
      <c r="K29" s="51"/>
      <c r="L29" s="51"/>
      <c r="M29" s="51"/>
      <c r="N29" s="51"/>
      <c r="O29" s="51"/>
      <c r="P29" s="51"/>
      <c r="Q29" s="51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75"/>
      <c r="AC29" s="76" t="s">
        <v>27</v>
      </c>
      <c r="AD29" s="56">
        <f>IF('Ship Data Imperial'!E30&gt;0,'Ship Data Imperial'!E30,Standing!AN29)</f>
        <v>0</v>
      </c>
      <c r="AE29" s="230">
        <f t="shared" si="17"/>
        <v>0</v>
      </c>
      <c r="AF29" s="47">
        <f t="shared" si="2"/>
        <v>0</v>
      </c>
      <c r="AG29" s="231">
        <f t="shared" si="3"/>
        <v>0</v>
      </c>
      <c r="AH29" s="232">
        <f t="shared" si="18"/>
        <v>0</v>
      </c>
      <c r="AI29" s="230">
        <f t="shared" si="5"/>
        <v>0</v>
      </c>
      <c r="AJ29" s="233">
        <f t="shared" si="6"/>
        <v>0</v>
      </c>
      <c r="AK29" s="234">
        <f t="shared" si="7"/>
        <v>0</v>
      </c>
      <c r="AL29" s="228">
        <f t="shared" si="22"/>
        <v>0</v>
      </c>
      <c r="AM29" s="229">
        <f t="shared" si="21"/>
        <v>0</v>
      </c>
      <c r="AN29" s="56">
        <f>'Ship Data Metric'!E30*0.03280839895</f>
        <v>0</v>
      </c>
    </row>
    <row r="30" ht="15.75" customHeight="1">
      <c r="A30" s="51"/>
      <c r="B30" s="195" t="s">
        <v>236</v>
      </c>
      <c r="C30" s="189">
        <f>AL136</f>
        <v>1.750370669</v>
      </c>
      <c r="D30" s="120">
        <f t="shared" si="10"/>
        <v>0.5571589856</v>
      </c>
      <c r="E30" s="249">
        <f t="shared" si="11"/>
        <v>44.459415</v>
      </c>
      <c r="F30" s="244">
        <f t="shared" si="12"/>
        <v>14.15183824</v>
      </c>
      <c r="G30" s="123">
        <f>C30/Introduction!$I$20</f>
        <v>0.01823302781</v>
      </c>
      <c r="H30" s="141">
        <f t="shared" si="13"/>
        <v>0.005803739434</v>
      </c>
      <c r="I30" s="124">
        <f>E30/Introduction!$I$20</f>
        <v>0.4631189062</v>
      </c>
      <c r="J30" s="247">
        <f t="shared" si="14"/>
        <v>0.1474149816</v>
      </c>
      <c r="K30" s="51"/>
      <c r="L30" s="51"/>
      <c r="M30" s="51"/>
      <c r="N30" s="51"/>
      <c r="O30" s="51"/>
      <c r="P30" s="51"/>
      <c r="Q30" s="51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75"/>
      <c r="AC30" s="76" t="s">
        <v>28</v>
      </c>
      <c r="AD30" s="56">
        <f>IF('Ship Data Imperial'!E31&gt;0,'Ship Data Imperial'!E31,Standing!AN30)</f>
        <v>0</v>
      </c>
      <c r="AE30" s="230">
        <f t="shared" si="17"/>
        <v>0</v>
      </c>
      <c r="AF30" s="47">
        <f t="shared" si="2"/>
        <v>0</v>
      </c>
      <c r="AG30" s="231">
        <f t="shared" si="3"/>
        <v>0</v>
      </c>
      <c r="AH30" s="232">
        <f t="shared" si="18"/>
        <v>0</v>
      </c>
      <c r="AI30" s="230">
        <f t="shared" si="5"/>
        <v>0</v>
      </c>
      <c r="AJ30" s="233">
        <f t="shared" si="6"/>
        <v>0</v>
      </c>
      <c r="AK30" s="234">
        <f t="shared" si="7"/>
        <v>0</v>
      </c>
      <c r="AL30" s="228">
        <f t="shared" si="22"/>
        <v>0</v>
      </c>
      <c r="AM30" s="229">
        <f t="shared" si="21"/>
        <v>0</v>
      </c>
      <c r="AN30" s="56">
        <f>'Ship Data Metric'!E31*0.03280839895</f>
        <v>0</v>
      </c>
    </row>
    <row r="31" ht="15.75" customHeight="1">
      <c r="A31" s="51"/>
      <c r="B31" s="195" t="s">
        <v>237</v>
      </c>
      <c r="C31" s="189">
        <f>IF(C49/3&gt;1.5,C49/3,1.5)</f>
        <v>1.5</v>
      </c>
      <c r="D31" s="120">
        <f t="shared" si="10"/>
        <v>0.4774637128</v>
      </c>
      <c r="E31" s="249">
        <f t="shared" si="11"/>
        <v>38.1</v>
      </c>
      <c r="F31" s="244">
        <f t="shared" si="12"/>
        <v>12.1275783</v>
      </c>
      <c r="G31" s="123">
        <f>C31/Introduction!$I$20</f>
        <v>0.015625</v>
      </c>
      <c r="H31" s="141">
        <f t="shared" si="13"/>
        <v>0.004973580341</v>
      </c>
      <c r="I31" s="124">
        <f>E31/Introduction!$I$20</f>
        <v>0.396875</v>
      </c>
      <c r="J31" s="247">
        <f t="shared" si="14"/>
        <v>0.1263289407</v>
      </c>
      <c r="K31" s="51"/>
      <c r="L31" s="51"/>
      <c r="M31" s="51"/>
      <c r="N31" s="51"/>
      <c r="O31" s="51"/>
      <c r="P31" s="51"/>
      <c r="Q31" s="51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75"/>
      <c r="AC31" s="76" t="s">
        <v>29</v>
      </c>
      <c r="AD31" s="56">
        <f>IF('Ship Data Imperial'!E32&gt;0,'Ship Data Imperial'!E32,Standing!AN31)</f>
        <v>0</v>
      </c>
      <c r="AE31" s="230">
        <f t="shared" si="17"/>
        <v>0</v>
      </c>
      <c r="AF31" s="47">
        <f t="shared" si="2"/>
        <v>0</v>
      </c>
      <c r="AG31" s="231">
        <f t="shared" si="3"/>
        <v>0</v>
      </c>
      <c r="AH31" s="232">
        <f t="shared" si="18"/>
        <v>0</v>
      </c>
      <c r="AI31" s="230">
        <f t="shared" si="5"/>
        <v>0</v>
      </c>
      <c r="AJ31" s="233">
        <f t="shared" si="6"/>
        <v>0</v>
      </c>
      <c r="AK31" s="234">
        <f t="shared" si="7"/>
        <v>0</v>
      </c>
      <c r="AL31" s="228">
        <f t="shared" si="22"/>
        <v>0</v>
      </c>
      <c r="AM31" s="229">
        <f t="shared" si="21"/>
        <v>0</v>
      </c>
      <c r="AN31" s="56">
        <f>'Ship Data Metric'!E32*0.03280839895</f>
        <v>0</v>
      </c>
    </row>
    <row r="32" ht="15.75" customHeight="1">
      <c r="A32" s="51"/>
      <c r="B32" s="195" t="s">
        <v>238</v>
      </c>
      <c r="C32" s="189">
        <f>C26/2</f>
        <v>2.946751968</v>
      </c>
      <c r="D32" s="120">
        <f t="shared" si="10"/>
        <v>0.9379780903</v>
      </c>
      <c r="E32" s="249">
        <f t="shared" si="11"/>
        <v>74.8475</v>
      </c>
      <c r="F32" s="244">
        <f t="shared" si="12"/>
        <v>23.82464349</v>
      </c>
      <c r="G32" s="123">
        <f>C32/Introduction!$I$20</f>
        <v>0.03069533301</v>
      </c>
      <c r="H32" s="141">
        <f t="shared" si="13"/>
        <v>0.009770605107</v>
      </c>
      <c r="I32" s="124">
        <f>E32/Introduction!$I$20</f>
        <v>0.7796614583</v>
      </c>
      <c r="J32" s="247">
        <f t="shared" si="14"/>
        <v>0.2481733697</v>
      </c>
      <c r="K32" s="51"/>
      <c r="L32" s="51"/>
      <c r="M32" s="51"/>
      <c r="N32" s="51"/>
      <c r="O32" s="51"/>
      <c r="P32" s="51"/>
      <c r="Q32" s="51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75" t="s">
        <v>34</v>
      </c>
      <c r="AC32" s="76" t="s">
        <v>24</v>
      </c>
      <c r="AD32" s="56">
        <f>IF('Ship Data Imperial'!E33&gt;0,'Ship Data Imperial'!E33,Standing!AN32)</f>
        <v>0</v>
      </c>
      <c r="AE32" s="230">
        <f t="shared" ref="AE32:AE135" si="23">IF(AD32&gt;0,$C$75*0.72,0)</f>
        <v>0</v>
      </c>
      <c r="AF32" s="47">
        <f t="shared" si="2"/>
        <v>0</v>
      </c>
      <c r="AG32" s="231">
        <f t="shared" si="3"/>
        <v>0</v>
      </c>
      <c r="AH32" s="232">
        <f t="shared" ref="AH32:AH135" si="24">IF(AD32&gt;0,$C$77*0.72,0)</f>
        <v>0</v>
      </c>
      <c r="AI32" s="230">
        <f t="shared" si="5"/>
        <v>0</v>
      </c>
      <c r="AJ32" s="233">
        <f t="shared" si="6"/>
        <v>0</v>
      </c>
      <c r="AK32" s="234">
        <f t="shared" si="7"/>
        <v>0</v>
      </c>
      <c r="AL32" s="228">
        <f>IF(AD32&gt;0,$C$49*0.8,0)</f>
        <v>0</v>
      </c>
      <c r="AM32" s="229">
        <f>IF(AD32&gt;0,3.25,0)</f>
        <v>0</v>
      </c>
      <c r="AN32" s="56">
        <f>'Ship Data Metric'!E33*0.03280839895</f>
        <v>0</v>
      </c>
    </row>
    <row r="33" ht="15.75" customHeight="1">
      <c r="A33" s="51"/>
      <c r="B33" s="195" t="s">
        <v>235</v>
      </c>
      <c r="C33" s="189">
        <f>C32*0.8</f>
        <v>2.357401575</v>
      </c>
      <c r="D33" s="120">
        <f t="shared" si="10"/>
        <v>0.7503824722</v>
      </c>
      <c r="E33" s="249">
        <f t="shared" si="11"/>
        <v>59.878</v>
      </c>
      <c r="F33" s="244">
        <f t="shared" si="12"/>
        <v>19.05971479</v>
      </c>
      <c r="G33" s="123">
        <f>C33/Introduction!$I$20</f>
        <v>0.0245562664</v>
      </c>
      <c r="H33" s="141">
        <f t="shared" si="13"/>
        <v>0.007816484086</v>
      </c>
      <c r="I33" s="124">
        <f>E33/Introduction!$I$20</f>
        <v>0.6237291667</v>
      </c>
      <c r="J33" s="247">
        <f t="shared" si="14"/>
        <v>0.1985386958</v>
      </c>
      <c r="K33" s="51"/>
      <c r="L33" s="51"/>
      <c r="M33" s="51"/>
      <c r="N33" s="51"/>
      <c r="O33" s="51"/>
      <c r="P33" s="51"/>
      <c r="Q33" s="51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75"/>
      <c r="AC33" s="76" t="s">
        <v>25</v>
      </c>
      <c r="AD33" s="56">
        <f>IF('Ship Data Imperial'!E34&gt;0,'Ship Data Imperial'!E34,Standing!AN33)</f>
        <v>0</v>
      </c>
      <c r="AE33" s="230">
        <f t="shared" si="23"/>
        <v>0</v>
      </c>
      <c r="AF33" s="47">
        <f t="shared" si="2"/>
        <v>0</v>
      </c>
      <c r="AG33" s="231">
        <f t="shared" si="3"/>
        <v>0</v>
      </c>
      <c r="AH33" s="232">
        <f t="shared" si="24"/>
        <v>0</v>
      </c>
      <c r="AI33" s="230">
        <f t="shared" si="5"/>
        <v>0</v>
      </c>
      <c r="AJ33" s="233">
        <f t="shared" si="6"/>
        <v>0</v>
      </c>
      <c r="AK33" s="234">
        <f t="shared" si="7"/>
        <v>0</v>
      </c>
      <c r="AL33" s="228">
        <f>IF(AD33&gt;0,$C$49*0.75,0)</f>
        <v>0</v>
      </c>
      <c r="AM33" s="229">
        <f t="shared" ref="AM33:AM37" si="25">IF(AD33&gt;0,3,0)</f>
        <v>0</v>
      </c>
      <c r="AN33" s="56">
        <f>'Ship Data Metric'!E34*0.03280839895</f>
        <v>0</v>
      </c>
    </row>
    <row r="34" ht="15.75" customHeight="1">
      <c r="A34" s="51"/>
      <c r="B34" s="195" t="s">
        <v>239</v>
      </c>
      <c r="C34" s="189">
        <f>C32*0.75</f>
        <v>2.210063976</v>
      </c>
      <c r="D34" s="120">
        <f t="shared" si="10"/>
        <v>0.7034835677</v>
      </c>
      <c r="E34" s="249">
        <f t="shared" si="11"/>
        <v>56.135625</v>
      </c>
      <c r="F34" s="244">
        <f t="shared" si="12"/>
        <v>17.86848262</v>
      </c>
      <c r="G34" s="123">
        <f>C34/Introduction!$I$20</f>
        <v>0.02302149975</v>
      </c>
      <c r="H34" s="141">
        <f t="shared" si="13"/>
        <v>0.00732795383</v>
      </c>
      <c r="I34" s="124">
        <f>E34/Introduction!$I$20</f>
        <v>0.5847460937</v>
      </c>
      <c r="J34" s="247">
        <f t="shared" si="14"/>
        <v>0.1861300273</v>
      </c>
      <c r="K34" s="51"/>
      <c r="L34" s="51"/>
      <c r="M34" s="51"/>
      <c r="N34" s="51"/>
      <c r="O34" s="51"/>
      <c r="P34" s="51"/>
      <c r="Q34" s="51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75"/>
      <c r="AC34" s="76" t="s">
        <v>26</v>
      </c>
      <c r="AD34" s="56">
        <f>IF('Ship Data Imperial'!E35&gt;0,'Ship Data Imperial'!E35,Standing!AN34)</f>
        <v>0</v>
      </c>
      <c r="AE34" s="230">
        <f t="shared" si="23"/>
        <v>0</v>
      </c>
      <c r="AF34" s="47">
        <f t="shared" si="2"/>
        <v>0</v>
      </c>
      <c r="AG34" s="231">
        <f t="shared" si="3"/>
        <v>0</v>
      </c>
      <c r="AH34" s="232">
        <f t="shared" si="24"/>
        <v>0</v>
      </c>
      <c r="AI34" s="230">
        <f t="shared" si="5"/>
        <v>0</v>
      </c>
      <c r="AJ34" s="233">
        <f t="shared" si="6"/>
        <v>0</v>
      </c>
      <c r="AK34" s="234">
        <f t="shared" si="7"/>
        <v>0</v>
      </c>
      <c r="AL34" s="228">
        <f t="shared" ref="AL34:AL37" si="26">IF(AD34&gt;0,$C$49*0.66,0)</f>
        <v>0</v>
      </c>
      <c r="AM34" s="229">
        <f t="shared" si="25"/>
        <v>0</v>
      </c>
      <c r="AN34" s="56">
        <f>'Ship Data Metric'!E35*0.03280839895</f>
        <v>0</v>
      </c>
    </row>
    <row r="35" ht="15.75" customHeight="1">
      <c r="A35" s="51"/>
      <c r="B35" s="195" t="s">
        <v>240</v>
      </c>
      <c r="C35" s="189">
        <f>C34*0.8</f>
        <v>1.768051181</v>
      </c>
      <c r="D35" s="120">
        <f t="shared" si="10"/>
        <v>0.5627868542</v>
      </c>
      <c r="E35" s="249">
        <f t="shared" si="11"/>
        <v>44.9085</v>
      </c>
      <c r="F35" s="244">
        <f t="shared" si="12"/>
        <v>14.2947861</v>
      </c>
      <c r="G35" s="123">
        <f>C35/Introduction!$I$20</f>
        <v>0.0184171998</v>
      </c>
      <c r="H35" s="141">
        <f t="shared" si="13"/>
        <v>0.005862363064</v>
      </c>
      <c r="I35" s="124">
        <f>E35/Introduction!$I$20</f>
        <v>0.467796875</v>
      </c>
      <c r="J35" s="247">
        <f t="shared" si="14"/>
        <v>0.1489040218</v>
      </c>
      <c r="K35" s="51"/>
      <c r="L35" s="51"/>
      <c r="M35" s="51"/>
      <c r="N35" s="51"/>
      <c r="O35" s="51"/>
      <c r="P35" s="51"/>
      <c r="Q35" s="51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75"/>
      <c r="AC35" s="76" t="s">
        <v>27</v>
      </c>
      <c r="AD35" s="56">
        <f>IF('Ship Data Imperial'!E36&gt;0,'Ship Data Imperial'!E36,Standing!AN35)</f>
        <v>0</v>
      </c>
      <c r="AE35" s="230">
        <f t="shared" si="23"/>
        <v>0</v>
      </c>
      <c r="AF35" s="47">
        <f t="shared" si="2"/>
        <v>0</v>
      </c>
      <c r="AG35" s="231">
        <f t="shared" si="3"/>
        <v>0</v>
      </c>
      <c r="AH35" s="232">
        <f t="shared" si="24"/>
        <v>0</v>
      </c>
      <c r="AI35" s="230">
        <f t="shared" si="5"/>
        <v>0</v>
      </c>
      <c r="AJ35" s="233">
        <f t="shared" si="6"/>
        <v>0</v>
      </c>
      <c r="AK35" s="234">
        <f t="shared" si="7"/>
        <v>0</v>
      </c>
      <c r="AL35" s="228">
        <f t="shared" si="26"/>
        <v>0</v>
      </c>
      <c r="AM35" s="229">
        <f t="shared" si="25"/>
        <v>0</v>
      </c>
      <c r="AN35" s="56">
        <f>'Ship Data Metric'!E36*0.03280839895</f>
        <v>0</v>
      </c>
    </row>
    <row r="36" ht="15.75" customHeight="1">
      <c r="A36" s="51"/>
      <c r="B36" s="195" t="s">
        <v>241</v>
      </c>
      <c r="C36" s="189">
        <f>IF(C32/2&gt;2,C32/2,2)</f>
        <v>2</v>
      </c>
      <c r="D36" s="120">
        <f t="shared" si="10"/>
        <v>0.6366182837</v>
      </c>
      <c r="E36" s="249">
        <f t="shared" si="11"/>
        <v>50.8</v>
      </c>
      <c r="F36" s="244">
        <f t="shared" si="12"/>
        <v>16.17010441</v>
      </c>
      <c r="G36" s="123">
        <f>C36/Introduction!$I$20</f>
        <v>0.02083333333</v>
      </c>
      <c r="H36" s="141">
        <f t="shared" si="13"/>
        <v>0.006631440455</v>
      </c>
      <c r="I36" s="124">
        <f>E36/Introduction!$I$20</f>
        <v>0.5291666667</v>
      </c>
      <c r="J36" s="247">
        <f t="shared" si="14"/>
        <v>0.1684385876</v>
      </c>
      <c r="K36" s="51"/>
      <c r="L36" s="51"/>
      <c r="M36" s="51"/>
      <c r="N36" s="51"/>
      <c r="O36" s="51"/>
      <c r="P36" s="51"/>
      <c r="Q36" s="51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75"/>
      <c r="AC36" s="76" t="s">
        <v>28</v>
      </c>
      <c r="AD36" s="56">
        <f>IF('Ship Data Imperial'!E37&gt;0,'Ship Data Imperial'!E37,Standing!AN36)</f>
        <v>0</v>
      </c>
      <c r="AE36" s="230">
        <f t="shared" si="23"/>
        <v>0</v>
      </c>
      <c r="AF36" s="47">
        <f t="shared" si="2"/>
        <v>0</v>
      </c>
      <c r="AG36" s="231">
        <f t="shared" si="3"/>
        <v>0</v>
      </c>
      <c r="AH36" s="232">
        <f t="shared" si="24"/>
        <v>0</v>
      </c>
      <c r="AI36" s="230">
        <f t="shared" si="5"/>
        <v>0</v>
      </c>
      <c r="AJ36" s="233">
        <f t="shared" si="6"/>
        <v>0</v>
      </c>
      <c r="AK36" s="234">
        <f t="shared" si="7"/>
        <v>0</v>
      </c>
      <c r="AL36" s="228">
        <f t="shared" si="26"/>
        <v>0</v>
      </c>
      <c r="AM36" s="229">
        <f t="shared" si="25"/>
        <v>0</v>
      </c>
      <c r="AN36" s="56">
        <f>'Ship Data Metric'!E37*0.03280839895</f>
        <v>0</v>
      </c>
    </row>
    <row r="37" ht="15.75" customHeight="1">
      <c r="A37" s="51"/>
      <c r="B37" s="195" t="s">
        <v>242</v>
      </c>
      <c r="C37" s="189">
        <f>IF(C36/2&gt;2,C36/2,2)</f>
        <v>2</v>
      </c>
      <c r="D37" s="120">
        <f t="shared" si="10"/>
        <v>0.6366182837</v>
      </c>
      <c r="E37" s="249">
        <f t="shared" si="11"/>
        <v>50.8</v>
      </c>
      <c r="F37" s="244">
        <f t="shared" si="12"/>
        <v>16.17010441</v>
      </c>
      <c r="G37" s="123">
        <f>C37/Introduction!$I$20</f>
        <v>0.02083333333</v>
      </c>
      <c r="H37" s="141">
        <f t="shared" si="13"/>
        <v>0.006631440455</v>
      </c>
      <c r="I37" s="124">
        <f>E37/Introduction!$I$20</f>
        <v>0.5291666667</v>
      </c>
      <c r="J37" s="247">
        <f t="shared" si="14"/>
        <v>0.1684385876</v>
      </c>
      <c r="K37" s="51"/>
      <c r="L37" s="51"/>
      <c r="M37" s="51"/>
      <c r="N37" s="51"/>
      <c r="O37" s="51"/>
      <c r="P37" s="51"/>
      <c r="Q37" s="51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75"/>
      <c r="AC37" s="76" t="s">
        <v>29</v>
      </c>
      <c r="AD37" s="56">
        <f>IF('Ship Data Imperial'!E38&gt;0,'Ship Data Imperial'!E38,Standing!AN37)</f>
        <v>0</v>
      </c>
      <c r="AE37" s="230">
        <f t="shared" si="23"/>
        <v>0</v>
      </c>
      <c r="AF37" s="47">
        <f t="shared" si="2"/>
        <v>0</v>
      </c>
      <c r="AG37" s="231">
        <f t="shared" si="3"/>
        <v>0</v>
      </c>
      <c r="AH37" s="232">
        <f t="shared" si="24"/>
        <v>0</v>
      </c>
      <c r="AI37" s="230">
        <f t="shared" si="5"/>
        <v>0</v>
      </c>
      <c r="AJ37" s="233">
        <f t="shared" si="6"/>
        <v>0</v>
      </c>
      <c r="AK37" s="234">
        <f t="shared" si="7"/>
        <v>0</v>
      </c>
      <c r="AL37" s="228">
        <f t="shared" si="26"/>
        <v>0</v>
      </c>
      <c r="AM37" s="229">
        <f t="shared" si="25"/>
        <v>0</v>
      </c>
      <c r="AN37" s="56">
        <f>'Ship Data Metric'!E38*0.03280839895</f>
        <v>0</v>
      </c>
    </row>
    <row r="38" ht="15.75" customHeight="1">
      <c r="A38" s="51"/>
      <c r="B38" s="195" t="s">
        <v>243</v>
      </c>
      <c r="C38" s="189">
        <f>C26*0.33</f>
        <v>1.944856299</v>
      </c>
      <c r="D38" s="120">
        <f t="shared" si="10"/>
        <v>0.6190655396</v>
      </c>
      <c r="E38" s="249">
        <f t="shared" si="11"/>
        <v>49.39935</v>
      </c>
      <c r="F38" s="244">
        <f t="shared" si="12"/>
        <v>15.72426471</v>
      </c>
      <c r="G38" s="123">
        <f>C38/Introduction!$I$20</f>
        <v>0.02025891978</v>
      </c>
      <c r="H38" s="141">
        <f t="shared" si="13"/>
        <v>0.006448599371</v>
      </c>
      <c r="I38" s="124">
        <f>E38/Introduction!$I$20</f>
        <v>0.5145765625</v>
      </c>
      <c r="J38" s="247">
        <f t="shared" si="14"/>
        <v>0.163794424</v>
      </c>
      <c r="K38" s="51"/>
      <c r="L38" s="51"/>
      <c r="M38" s="51"/>
      <c r="N38" s="51"/>
      <c r="O38" s="51"/>
      <c r="P38" s="51"/>
      <c r="Q38" s="51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75" t="s">
        <v>35</v>
      </c>
      <c r="AC38" s="76" t="s">
        <v>24</v>
      </c>
      <c r="AD38" s="56">
        <f>IF('Ship Data Imperial'!E39&gt;0,'Ship Data Imperial'!E39,Standing!AN38)</f>
        <v>0</v>
      </c>
      <c r="AE38" s="230">
        <f t="shared" si="23"/>
        <v>0</v>
      </c>
      <c r="AF38" s="47">
        <f t="shared" si="2"/>
        <v>0</v>
      </c>
      <c r="AG38" s="231">
        <f t="shared" si="3"/>
        <v>0</v>
      </c>
      <c r="AH38" s="232">
        <f t="shared" si="24"/>
        <v>0</v>
      </c>
      <c r="AI38" s="230">
        <f t="shared" si="5"/>
        <v>0</v>
      </c>
      <c r="AJ38" s="233">
        <f t="shared" si="6"/>
        <v>0</v>
      </c>
      <c r="AK38" s="234">
        <f t="shared" si="7"/>
        <v>0</v>
      </c>
      <c r="AL38" s="228">
        <f>IF(AD38&gt;0,$C$49*0.8,0)</f>
        <v>0</v>
      </c>
      <c r="AM38" s="229">
        <f>IF(AD38&gt;0,3.25,0)</f>
        <v>0</v>
      </c>
      <c r="AN38" s="56">
        <f>'Ship Data Metric'!E39*0.03280839895</f>
        <v>0</v>
      </c>
    </row>
    <row r="39" ht="15.75" customHeight="1">
      <c r="A39" s="51"/>
      <c r="B39" s="195" t="s">
        <v>244</v>
      </c>
      <c r="C39" s="189">
        <f>C28*0.33</f>
        <v>1.361399409</v>
      </c>
      <c r="D39" s="120">
        <f t="shared" si="10"/>
        <v>0.4333458777</v>
      </c>
      <c r="E39" s="249">
        <f t="shared" si="11"/>
        <v>34.579545</v>
      </c>
      <c r="F39" s="244">
        <f t="shared" si="12"/>
        <v>11.00698529</v>
      </c>
      <c r="G39" s="123">
        <f>C39/Introduction!$I$20</f>
        <v>0.01418124385</v>
      </c>
      <c r="H39" s="141">
        <f t="shared" si="13"/>
        <v>0.00451401956</v>
      </c>
      <c r="I39" s="124">
        <f>E39/Introduction!$I$20</f>
        <v>0.3602035937</v>
      </c>
      <c r="J39" s="247">
        <f t="shared" si="14"/>
        <v>0.1146560968</v>
      </c>
      <c r="K39" s="51"/>
      <c r="L39" s="51"/>
      <c r="M39" s="51"/>
      <c r="N39" s="51"/>
      <c r="O39" s="51"/>
      <c r="P39" s="51"/>
      <c r="Q39" s="51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75"/>
      <c r="AC39" s="76" t="s">
        <v>25</v>
      </c>
      <c r="AD39" s="56">
        <f>IF('Ship Data Imperial'!E40&gt;0,'Ship Data Imperial'!E40,Standing!AN39)</f>
        <v>0</v>
      </c>
      <c r="AE39" s="230">
        <f t="shared" si="23"/>
        <v>0</v>
      </c>
      <c r="AF39" s="47">
        <f t="shared" si="2"/>
        <v>0</v>
      </c>
      <c r="AG39" s="231">
        <f t="shared" si="3"/>
        <v>0</v>
      </c>
      <c r="AH39" s="232">
        <f t="shared" si="24"/>
        <v>0</v>
      </c>
      <c r="AI39" s="230">
        <f t="shared" si="5"/>
        <v>0</v>
      </c>
      <c r="AJ39" s="233">
        <f t="shared" si="6"/>
        <v>0</v>
      </c>
      <c r="AK39" s="234">
        <f t="shared" si="7"/>
        <v>0</v>
      </c>
      <c r="AL39" s="228">
        <f>IF(AD39&gt;0,$C$49*0.75,0)</f>
        <v>0</v>
      </c>
      <c r="AM39" s="229">
        <f t="shared" ref="AM39:AM55" si="27">IF(AD39&gt;0,3,0)</f>
        <v>0</v>
      </c>
      <c r="AN39" s="56">
        <f>'Ship Data Metric'!E40*0.03280839895</f>
        <v>0</v>
      </c>
    </row>
    <row r="40" ht="15.75" customHeight="1">
      <c r="A40" s="51"/>
      <c r="B40" s="195" t="s">
        <v>245</v>
      </c>
      <c r="C40" s="189">
        <f>C32/2</f>
        <v>1.473375984</v>
      </c>
      <c r="D40" s="120">
        <f t="shared" si="10"/>
        <v>0.4689890452</v>
      </c>
      <c r="E40" s="249">
        <f t="shared" si="11"/>
        <v>37.42375</v>
      </c>
      <c r="F40" s="244">
        <f t="shared" si="12"/>
        <v>11.91232175</v>
      </c>
      <c r="G40" s="123">
        <f>C40/Introduction!$I$20</f>
        <v>0.0153476665</v>
      </c>
      <c r="H40" s="141">
        <f t="shared" si="13"/>
        <v>0.004885302554</v>
      </c>
      <c r="I40" s="124">
        <f>E40/Introduction!$I$20</f>
        <v>0.3898307292</v>
      </c>
      <c r="J40" s="247">
        <f t="shared" si="14"/>
        <v>0.1240866849</v>
      </c>
      <c r="K40" s="51"/>
      <c r="L40" s="51"/>
      <c r="M40" s="51"/>
      <c r="N40" s="51"/>
      <c r="O40" s="51"/>
      <c r="P40" s="51"/>
      <c r="Q40" s="51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75"/>
      <c r="AC40" s="76" t="s">
        <v>26</v>
      </c>
      <c r="AD40" s="56">
        <f>IF('Ship Data Imperial'!E41&gt;0,'Ship Data Imperial'!E41,Standing!AN40)</f>
        <v>0</v>
      </c>
      <c r="AE40" s="230">
        <f t="shared" si="23"/>
        <v>0</v>
      </c>
      <c r="AF40" s="47">
        <f t="shared" si="2"/>
        <v>0</v>
      </c>
      <c r="AG40" s="231">
        <f t="shared" si="3"/>
        <v>0</v>
      </c>
      <c r="AH40" s="232">
        <f t="shared" si="24"/>
        <v>0</v>
      </c>
      <c r="AI40" s="230">
        <f t="shared" si="5"/>
        <v>0</v>
      </c>
      <c r="AJ40" s="233">
        <f t="shared" si="6"/>
        <v>0</v>
      </c>
      <c r="AK40" s="234">
        <f t="shared" si="7"/>
        <v>0</v>
      </c>
      <c r="AL40" s="228">
        <f t="shared" ref="AL40:AL55" si="28">IF(AD40&gt;0,$C$49*0.66,0)</f>
        <v>0</v>
      </c>
      <c r="AM40" s="229">
        <f t="shared" si="27"/>
        <v>0</v>
      </c>
      <c r="AN40" s="56">
        <f>'Ship Data Metric'!E41*0.03280839895</f>
        <v>0</v>
      </c>
    </row>
    <row r="41" ht="15.75" customHeight="1">
      <c r="A41" s="51"/>
      <c r="B41" s="195" t="s">
        <v>246</v>
      </c>
      <c r="C41" s="189">
        <f>IF(C34/2&gt;1.5,C34/2,1.5)</f>
        <v>1.5</v>
      </c>
      <c r="D41" s="120">
        <f t="shared" si="10"/>
        <v>0.4774637128</v>
      </c>
      <c r="E41" s="249">
        <f t="shared" si="11"/>
        <v>38.1</v>
      </c>
      <c r="F41" s="244">
        <f t="shared" si="12"/>
        <v>12.1275783</v>
      </c>
      <c r="G41" s="123">
        <f>C41/Introduction!$I$20</f>
        <v>0.015625</v>
      </c>
      <c r="H41" s="141">
        <f t="shared" si="13"/>
        <v>0.004973580341</v>
      </c>
      <c r="I41" s="124">
        <f>E41/Introduction!$I$20</f>
        <v>0.396875</v>
      </c>
      <c r="J41" s="247">
        <f t="shared" si="14"/>
        <v>0.1263289407</v>
      </c>
      <c r="K41" s="51"/>
      <c r="L41" s="51"/>
      <c r="M41" s="51"/>
      <c r="N41" s="51"/>
      <c r="O41" s="51"/>
      <c r="P41" s="51"/>
      <c r="Q41" s="51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75"/>
      <c r="AC41" s="76" t="s">
        <v>27</v>
      </c>
      <c r="AD41" s="56">
        <f>IF('Ship Data Imperial'!E42&gt;0,'Ship Data Imperial'!E42,Standing!AN41)</f>
        <v>0</v>
      </c>
      <c r="AE41" s="230">
        <f t="shared" si="23"/>
        <v>0</v>
      </c>
      <c r="AF41" s="47">
        <f t="shared" si="2"/>
        <v>0</v>
      </c>
      <c r="AG41" s="231">
        <f t="shared" si="3"/>
        <v>0</v>
      </c>
      <c r="AH41" s="232">
        <f t="shared" si="24"/>
        <v>0</v>
      </c>
      <c r="AI41" s="230">
        <f t="shared" si="5"/>
        <v>0</v>
      </c>
      <c r="AJ41" s="233">
        <f t="shared" si="6"/>
        <v>0</v>
      </c>
      <c r="AK41" s="234">
        <f t="shared" si="7"/>
        <v>0</v>
      </c>
      <c r="AL41" s="228">
        <f t="shared" si="28"/>
        <v>0</v>
      </c>
      <c r="AM41" s="229">
        <f t="shared" si="27"/>
        <v>0</v>
      </c>
      <c r="AN41" s="56">
        <f>'Ship Data Metric'!E42*0.03280839895</f>
        <v>0</v>
      </c>
    </row>
    <row r="42" ht="15.75" customHeight="1">
      <c r="A42" s="51"/>
      <c r="B42" s="195" t="s">
        <v>247</v>
      </c>
      <c r="C42" s="189">
        <f t="shared" ref="C42:C43" si="29">C36/2</f>
        <v>1</v>
      </c>
      <c r="D42" s="120">
        <f t="shared" si="10"/>
        <v>0.3183091418</v>
      </c>
      <c r="E42" s="249">
        <f t="shared" si="11"/>
        <v>25.4</v>
      </c>
      <c r="F42" s="244">
        <f t="shared" si="12"/>
        <v>8.085052203</v>
      </c>
      <c r="G42" s="123">
        <f>C42/Introduction!$I$20</f>
        <v>0.01041666667</v>
      </c>
      <c r="H42" s="141">
        <f t="shared" si="13"/>
        <v>0.003315720227</v>
      </c>
      <c r="I42" s="124">
        <f>E42/Introduction!$I$20</f>
        <v>0.2645833333</v>
      </c>
      <c r="J42" s="247">
        <f t="shared" si="14"/>
        <v>0.08421929378</v>
      </c>
      <c r="K42" s="51"/>
      <c r="L42" s="51"/>
      <c r="M42" s="51"/>
      <c r="N42" s="51"/>
      <c r="O42" s="51"/>
      <c r="P42" s="51"/>
      <c r="Q42" s="51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75"/>
      <c r="AC42" s="76" t="s">
        <v>28</v>
      </c>
      <c r="AD42" s="56">
        <f>IF('Ship Data Imperial'!E43&gt;0,'Ship Data Imperial'!E43,Standing!AN42)</f>
        <v>0</v>
      </c>
      <c r="AE42" s="230">
        <f t="shared" si="23"/>
        <v>0</v>
      </c>
      <c r="AF42" s="47">
        <f t="shared" si="2"/>
        <v>0</v>
      </c>
      <c r="AG42" s="231">
        <f t="shared" si="3"/>
        <v>0</v>
      </c>
      <c r="AH42" s="232">
        <f t="shared" si="24"/>
        <v>0</v>
      </c>
      <c r="AI42" s="230">
        <f t="shared" si="5"/>
        <v>0</v>
      </c>
      <c r="AJ42" s="233">
        <f t="shared" si="6"/>
        <v>0</v>
      </c>
      <c r="AK42" s="234">
        <f t="shared" si="7"/>
        <v>0</v>
      </c>
      <c r="AL42" s="228">
        <f t="shared" si="28"/>
        <v>0</v>
      </c>
      <c r="AM42" s="229">
        <f t="shared" si="27"/>
        <v>0</v>
      </c>
      <c r="AN42" s="56">
        <f>'Ship Data Metric'!E43*0.03280839895</f>
        <v>0</v>
      </c>
    </row>
    <row r="43" ht="15.75" customHeight="1">
      <c r="A43" s="51"/>
      <c r="B43" s="195" t="s">
        <v>248</v>
      </c>
      <c r="C43" s="189">
        <f t="shared" si="29"/>
        <v>1</v>
      </c>
      <c r="D43" s="120">
        <f t="shared" si="10"/>
        <v>0.3183091418</v>
      </c>
      <c r="E43" s="249">
        <f t="shared" si="11"/>
        <v>25.4</v>
      </c>
      <c r="F43" s="244">
        <f t="shared" si="12"/>
        <v>8.085052203</v>
      </c>
      <c r="G43" s="123">
        <f>C43/Introduction!$I$20</f>
        <v>0.01041666667</v>
      </c>
      <c r="H43" s="141">
        <f t="shared" si="13"/>
        <v>0.003315720227</v>
      </c>
      <c r="I43" s="124">
        <f>E43/Introduction!$I$20</f>
        <v>0.2645833333</v>
      </c>
      <c r="J43" s="247">
        <f t="shared" si="14"/>
        <v>0.08421929378</v>
      </c>
      <c r="K43" s="51"/>
      <c r="L43" s="51"/>
      <c r="M43" s="51"/>
      <c r="N43" s="51"/>
      <c r="O43" s="51"/>
      <c r="P43" s="51"/>
      <c r="Q43" s="51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75"/>
      <c r="AC43" s="76" t="s">
        <v>29</v>
      </c>
      <c r="AD43" s="56">
        <f>IF('Ship Data Imperial'!E44&gt;0,'Ship Data Imperial'!E44,Standing!AN43)</f>
        <v>0</v>
      </c>
      <c r="AE43" s="230">
        <f t="shared" si="23"/>
        <v>0</v>
      </c>
      <c r="AF43" s="47">
        <f t="shared" si="2"/>
        <v>0</v>
      </c>
      <c r="AG43" s="231">
        <f t="shared" si="3"/>
        <v>0</v>
      </c>
      <c r="AH43" s="232">
        <f t="shared" si="24"/>
        <v>0</v>
      </c>
      <c r="AI43" s="230">
        <f t="shared" si="5"/>
        <v>0</v>
      </c>
      <c r="AJ43" s="233">
        <f t="shared" si="6"/>
        <v>0</v>
      </c>
      <c r="AK43" s="234">
        <f t="shared" si="7"/>
        <v>0</v>
      </c>
      <c r="AL43" s="228">
        <f t="shared" si="28"/>
        <v>0</v>
      </c>
      <c r="AM43" s="229">
        <f t="shared" si="27"/>
        <v>0</v>
      </c>
      <c r="AN43" s="56">
        <f>'Ship Data Metric'!E44*0.03280839895</f>
        <v>0</v>
      </c>
    </row>
    <row r="44" ht="15.75" customHeight="1">
      <c r="A44" s="51"/>
      <c r="B44" s="250" t="s">
        <v>249</v>
      </c>
      <c r="C44" s="251">
        <f>C26*0.6</f>
        <v>3.536102362</v>
      </c>
      <c r="D44" s="252">
        <f t="shared" si="10"/>
        <v>1.125573708</v>
      </c>
      <c r="E44" s="253">
        <f t="shared" si="11"/>
        <v>89.817</v>
      </c>
      <c r="F44" s="254">
        <f t="shared" si="12"/>
        <v>28.58957219</v>
      </c>
      <c r="G44" s="113">
        <f>C44/Introduction!$I$20</f>
        <v>0.03683439961</v>
      </c>
      <c r="H44" s="255">
        <f t="shared" si="13"/>
        <v>0.01172472613</v>
      </c>
      <c r="I44" s="115">
        <f>E44/Introduction!$I$20</f>
        <v>0.93559375</v>
      </c>
      <c r="J44" s="256">
        <f t="shared" si="14"/>
        <v>0.2978080437</v>
      </c>
      <c r="K44" s="51"/>
      <c r="L44" s="51"/>
      <c r="M44" s="51"/>
      <c r="N44" s="51"/>
      <c r="O44" s="51"/>
      <c r="P44" s="51"/>
      <c r="Q44" s="51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75" t="s">
        <v>36</v>
      </c>
      <c r="AC44" s="76" t="s">
        <v>24</v>
      </c>
      <c r="AD44" s="56">
        <f>IF('Ship Data Imperial'!E45&gt;0,'Ship Data Imperial'!E45,Standing!AN44)</f>
        <v>0</v>
      </c>
      <c r="AE44" s="230">
        <f t="shared" si="23"/>
        <v>0</v>
      </c>
      <c r="AF44" s="47">
        <f t="shared" si="2"/>
        <v>0</v>
      </c>
      <c r="AG44" s="231">
        <f t="shared" si="3"/>
        <v>0</v>
      </c>
      <c r="AH44" s="232">
        <f t="shared" si="24"/>
        <v>0</v>
      </c>
      <c r="AI44" s="230">
        <f t="shared" si="5"/>
        <v>0</v>
      </c>
      <c r="AJ44" s="233">
        <f t="shared" si="6"/>
        <v>0</v>
      </c>
      <c r="AK44" s="234">
        <f t="shared" si="7"/>
        <v>0</v>
      </c>
      <c r="AL44" s="228">
        <f t="shared" si="28"/>
        <v>0</v>
      </c>
      <c r="AM44" s="229">
        <f t="shared" si="27"/>
        <v>0</v>
      </c>
      <c r="AN44" s="56">
        <f>'Ship Data Metric'!E45*0.03280839895</f>
        <v>0</v>
      </c>
    </row>
    <row r="45" ht="15.75" customHeight="1">
      <c r="A45" s="51"/>
      <c r="B45" s="195" t="s">
        <v>250</v>
      </c>
      <c r="C45" s="189">
        <f>C44/2</f>
        <v>1.768051181</v>
      </c>
      <c r="D45" s="120">
        <f t="shared" si="10"/>
        <v>0.5627868542</v>
      </c>
      <c r="E45" s="249">
        <f t="shared" si="11"/>
        <v>44.9085</v>
      </c>
      <c r="F45" s="244">
        <f t="shared" si="12"/>
        <v>14.2947861</v>
      </c>
      <c r="G45" s="123">
        <f>C45/Introduction!$I$20</f>
        <v>0.0184171998</v>
      </c>
      <c r="H45" s="141">
        <f t="shared" si="13"/>
        <v>0.005862363064</v>
      </c>
      <c r="I45" s="124">
        <f>E45/Introduction!$I$20</f>
        <v>0.467796875</v>
      </c>
      <c r="J45" s="247">
        <f t="shared" si="14"/>
        <v>0.1489040218</v>
      </c>
      <c r="K45" s="51"/>
      <c r="L45" s="51"/>
      <c r="M45" s="51"/>
      <c r="N45" s="51"/>
      <c r="O45" s="51"/>
      <c r="P45" s="51"/>
      <c r="Q45" s="51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75"/>
      <c r="AC45" s="76" t="s">
        <v>25</v>
      </c>
      <c r="AD45" s="56">
        <f>IF('Ship Data Imperial'!E46&gt;0,'Ship Data Imperial'!E46,Standing!AN45)</f>
        <v>0</v>
      </c>
      <c r="AE45" s="230">
        <f t="shared" si="23"/>
        <v>0</v>
      </c>
      <c r="AF45" s="47">
        <f t="shared" si="2"/>
        <v>0</v>
      </c>
      <c r="AG45" s="231">
        <f t="shared" si="3"/>
        <v>0</v>
      </c>
      <c r="AH45" s="232">
        <f t="shared" si="24"/>
        <v>0</v>
      </c>
      <c r="AI45" s="230">
        <f t="shared" si="5"/>
        <v>0</v>
      </c>
      <c r="AJ45" s="233">
        <f t="shared" si="6"/>
        <v>0</v>
      </c>
      <c r="AK45" s="234">
        <f t="shared" si="7"/>
        <v>0</v>
      </c>
      <c r="AL45" s="228">
        <f t="shared" si="28"/>
        <v>0</v>
      </c>
      <c r="AM45" s="229">
        <f t="shared" si="27"/>
        <v>0</v>
      </c>
      <c r="AN45" s="56">
        <f>'Ship Data Metric'!E46*0.03280839895</f>
        <v>0</v>
      </c>
    </row>
    <row r="46" ht="15.75" customHeight="1">
      <c r="A46" s="51"/>
      <c r="B46" s="195" t="s">
        <v>251</v>
      </c>
      <c r="C46" s="189">
        <f>C49</f>
        <v>2.333827559</v>
      </c>
      <c r="D46" s="120">
        <f t="shared" si="10"/>
        <v>0.7428786475</v>
      </c>
      <c r="E46" s="249">
        <f t="shared" si="11"/>
        <v>59.27922</v>
      </c>
      <c r="F46" s="244">
        <f t="shared" si="12"/>
        <v>18.86911765</v>
      </c>
      <c r="G46" s="123">
        <f>C46/Introduction!$I$20</f>
        <v>0.02431070374</v>
      </c>
      <c r="H46" s="141">
        <f t="shared" si="13"/>
        <v>0.007738319245</v>
      </c>
      <c r="I46" s="124">
        <f>E46/Introduction!$I$20</f>
        <v>0.617491875</v>
      </c>
      <c r="J46" s="247">
        <f t="shared" si="14"/>
        <v>0.1965533088</v>
      </c>
      <c r="K46" s="51"/>
      <c r="L46" s="51"/>
      <c r="M46" s="51"/>
      <c r="N46" s="51"/>
      <c r="O46" s="51"/>
      <c r="P46" s="51"/>
      <c r="Q46" s="51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75"/>
      <c r="AC46" s="76" t="s">
        <v>26</v>
      </c>
      <c r="AD46" s="56">
        <f>IF('Ship Data Imperial'!E47&gt;0,'Ship Data Imperial'!E47,Standing!AN46)</f>
        <v>0</v>
      </c>
      <c r="AE46" s="230">
        <f t="shared" si="23"/>
        <v>0</v>
      </c>
      <c r="AF46" s="47">
        <f t="shared" si="2"/>
        <v>0</v>
      </c>
      <c r="AG46" s="231">
        <f t="shared" si="3"/>
        <v>0</v>
      </c>
      <c r="AH46" s="232">
        <f t="shared" si="24"/>
        <v>0</v>
      </c>
      <c r="AI46" s="230">
        <f t="shared" si="5"/>
        <v>0</v>
      </c>
      <c r="AJ46" s="233">
        <f t="shared" si="6"/>
        <v>0</v>
      </c>
      <c r="AK46" s="234">
        <f t="shared" si="7"/>
        <v>0</v>
      </c>
      <c r="AL46" s="228">
        <f t="shared" si="28"/>
        <v>0</v>
      </c>
      <c r="AM46" s="229">
        <f t="shared" si="27"/>
        <v>0</v>
      </c>
      <c r="AN46" s="56">
        <f>'Ship Data Metric'!E47*0.03280839895</f>
        <v>0</v>
      </c>
    </row>
    <row r="47" ht="15.75" customHeight="1">
      <c r="A47" s="51"/>
      <c r="B47" s="195" t="s">
        <v>252</v>
      </c>
      <c r="C47" s="189">
        <v>1.5</v>
      </c>
      <c r="D47" s="120">
        <f t="shared" si="10"/>
        <v>0.4774637128</v>
      </c>
      <c r="E47" s="249">
        <f t="shared" si="11"/>
        <v>38.1</v>
      </c>
      <c r="F47" s="244">
        <f t="shared" si="12"/>
        <v>12.1275783</v>
      </c>
      <c r="G47" s="123">
        <f>C47/Introduction!$I$20</f>
        <v>0.015625</v>
      </c>
      <c r="H47" s="141">
        <f t="shared" si="13"/>
        <v>0.004973580341</v>
      </c>
      <c r="I47" s="124">
        <f>E47/Introduction!$I$20</f>
        <v>0.396875</v>
      </c>
      <c r="J47" s="247">
        <f t="shared" si="14"/>
        <v>0.1263289407</v>
      </c>
      <c r="K47" s="51"/>
      <c r="L47" s="51"/>
      <c r="M47" s="51"/>
      <c r="N47" s="51"/>
      <c r="O47" s="51"/>
      <c r="P47" s="51"/>
      <c r="Q47" s="51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75"/>
      <c r="AC47" s="76" t="s">
        <v>27</v>
      </c>
      <c r="AD47" s="56">
        <f>IF('Ship Data Imperial'!E48&gt;0,'Ship Data Imperial'!E48,Standing!AN47)</f>
        <v>0</v>
      </c>
      <c r="AE47" s="230">
        <f t="shared" si="23"/>
        <v>0</v>
      </c>
      <c r="AF47" s="47">
        <f t="shared" si="2"/>
        <v>0</v>
      </c>
      <c r="AG47" s="231">
        <f t="shared" si="3"/>
        <v>0</v>
      </c>
      <c r="AH47" s="232">
        <f t="shared" si="24"/>
        <v>0</v>
      </c>
      <c r="AI47" s="230">
        <f t="shared" si="5"/>
        <v>0</v>
      </c>
      <c r="AJ47" s="233">
        <f t="shared" si="6"/>
        <v>0</v>
      </c>
      <c r="AK47" s="234">
        <f t="shared" si="7"/>
        <v>0</v>
      </c>
      <c r="AL47" s="228">
        <f t="shared" si="28"/>
        <v>0</v>
      </c>
      <c r="AM47" s="229">
        <f t="shared" si="27"/>
        <v>0</v>
      </c>
      <c r="AN47" s="56">
        <f>'Ship Data Metric'!E48*0.03280839895</f>
        <v>0</v>
      </c>
    </row>
    <row r="48" ht="15.75" customHeight="1">
      <c r="A48" s="51"/>
      <c r="B48" s="195" t="s">
        <v>253</v>
      </c>
      <c r="C48" s="189">
        <f>IF(C44/4&gt;1,C44/4,1)</f>
        <v>1</v>
      </c>
      <c r="D48" s="120">
        <f t="shared" si="10"/>
        <v>0.3183091418</v>
      </c>
      <c r="E48" s="249">
        <f t="shared" si="11"/>
        <v>25.4</v>
      </c>
      <c r="F48" s="244">
        <f t="shared" si="12"/>
        <v>8.085052203</v>
      </c>
      <c r="G48" s="123">
        <f>C48/Introduction!$I$20</f>
        <v>0.01041666667</v>
      </c>
      <c r="H48" s="141">
        <f t="shared" si="13"/>
        <v>0.003315720227</v>
      </c>
      <c r="I48" s="124">
        <f>E48/Introduction!$I$20</f>
        <v>0.2645833333</v>
      </c>
      <c r="J48" s="247">
        <f t="shared" si="14"/>
        <v>0.08421929378</v>
      </c>
      <c r="K48" s="51"/>
      <c r="L48" s="51"/>
      <c r="M48" s="51"/>
      <c r="N48" s="51"/>
      <c r="O48" s="51"/>
      <c r="P48" s="51"/>
      <c r="Q48" s="51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75"/>
      <c r="AC48" s="76" t="s">
        <v>28</v>
      </c>
      <c r="AD48" s="56">
        <f>IF('Ship Data Imperial'!E49&gt;0,'Ship Data Imperial'!E49,Standing!AN48)</f>
        <v>0</v>
      </c>
      <c r="AE48" s="230">
        <f t="shared" si="23"/>
        <v>0</v>
      </c>
      <c r="AF48" s="47">
        <f t="shared" si="2"/>
        <v>0</v>
      </c>
      <c r="AG48" s="231">
        <f t="shared" si="3"/>
        <v>0</v>
      </c>
      <c r="AH48" s="232">
        <f t="shared" si="24"/>
        <v>0</v>
      </c>
      <c r="AI48" s="230">
        <f t="shared" si="5"/>
        <v>0</v>
      </c>
      <c r="AJ48" s="233">
        <f t="shared" si="6"/>
        <v>0</v>
      </c>
      <c r="AK48" s="234">
        <f t="shared" si="7"/>
        <v>0</v>
      </c>
      <c r="AL48" s="228">
        <f t="shared" si="28"/>
        <v>0</v>
      </c>
      <c r="AM48" s="229">
        <f t="shared" si="27"/>
        <v>0</v>
      </c>
      <c r="AN48" s="56">
        <f>'Ship Data Metric'!E49*0.03280839895</f>
        <v>0</v>
      </c>
    </row>
    <row r="49" ht="15.75" customHeight="1">
      <c r="A49" s="51"/>
      <c r="B49" s="195" t="s">
        <v>254</v>
      </c>
      <c r="C49" s="189">
        <f>C44*0.66</f>
        <v>2.333827559</v>
      </c>
      <c r="D49" s="120">
        <f t="shared" si="10"/>
        <v>0.7428786475</v>
      </c>
      <c r="E49" s="249">
        <f t="shared" si="11"/>
        <v>59.27922</v>
      </c>
      <c r="F49" s="244">
        <f t="shared" si="12"/>
        <v>18.86911765</v>
      </c>
      <c r="G49" s="123">
        <f>C49/Introduction!$I$20</f>
        <v>0.02431070374</v>
      </c>
      <c r="H49" s="141">
        <f t="shared" si="13"/>
        <v>0.007738319245</v>
      </c>
      <c r="I49" s="124">
        <f>E49/Introduction!$I$20</f>
        <v>0.617491875</v>
      </c>
      <c r="J49" s="247">
        <f t="shared" si="14"/>
        <v>0.1965533088</v>
      </c>
      <c r="K49" s="51"/>
      <c r="L49" s="51"/>
      <c r="M49" s="51"/>
      <c r="N49" s="51"/>
      <c r="O49" s="51"/>
      <c r="P49" s="51"/>
      <c r="Q49" s="51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75"/>
      <c r="AC49" s="76" t="s">
        <v>29</v>
      </c>
      <c r="AD49" s="56">
        <f>IF('Ship Data Imperial'!E50&gt;0,'Ship Data Imperial'!E50,Standing!AN49)</f>
        <v>0</v>
      </c>
      <c r="AE49" s="230">
        <f t="shared" si="23"/>
        <v>0</v>
      </c>
      <c r="AF49" s="47">
        <f t="shared" si="2"/>
        <v>0</v>
      </c>
      <c r="AG49" s="231">
        <f t="shared" si="3"/>
        <v>0</v>
      </c>
      <c r="AH49" s="232">
        <f t="shared" si="24"/>
        <v>0</v>
      </c>
      <c r="AI49" s="230">
        <f t="shared" si="5"/>
        <v>0</v>
      </c>
      <c r="AJ49" s="233">
        <f t="shared" si="6"/>
        <v>0</v>
      </c>
      <c r="AK49" s="234">
        <f t="shared" si="7"/>
        <v>0</v>
      </c>
      <c r="AL49" s="228">
        <f t="shared" si="28"/>
        <v>0</v>
      </c>
      <c r="AM49" s="229">
        <f t="shared" si="27"/>
        <v>0</v>
      </c>
      <c r="AN49" s="56">
        <f>'Ship Data Metric'!E50*0.03280839895</f>
        <v>0</v>
      </c>
    </row>
    <row r="50" ht="15.75" customHeight="1">
      <c r="A50" s="51"/>
      <c r="B50" s="195" t="s">
        <v>255</v>
      </c>
      <c r="C50" s="189">
        <f>C49/2</f>
        <v>1.16691378</v>
      </c>
      <c r="D50" s="120">
        <f t="shared" si="10"/>
        <v>0.3714393238</v>
      </c>
      <c r="E50" s="249">
        <f t="shared" si="11"/>
        <v>29.63961</v>
      </c>
      <c r="F50" s="244">
        <f t="shared" si="12"/>
        <v>9.434558823</v>
      </c>
      <c r="G50" s="123">
        <f>C50/Introduction!$I$20</f>
        <v>0.01215535187</v>
      </c>
      <c r="H50" s="141">
        <f t="shared" si="13"/>
        <v>0.003869159622</v>
      </c>
      <c r="I50" s="124">
        <f>E50/Introduction!$I$20</f>
        <v>0.3087459375</v>
      </c>
      <c r="J50" s="247">
        <f t="shared" si="14"/>
        <v>0.09827665441</v>
      </c>
      <c r="K50" s="51"/>
      <c r="L50" s="51"/>
      <c r="M50" s="51"/>
      <c r="N50" s="51"/>
      <c r="O50" s="51"/>
      <c r="P50" s="51"/>
      <c r="Q50" s="51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75" t="s">
        <v>37</v>
      </c>
      <c r="AC50" s="76" t="s">
        <v>24</v>
      </c>
      <c r="AD50" s="56">
        <f>IF('Ship Data Imperial'!E51&gt;0,'Ship Data Imperial'!E51,Standing!AN50)</f>
        <v>0</v>
      </c>
      <c r="AE50" s="230">
        <f t="shared" si="23"/>
        <v>0</v>
      </c>
      <c r="AF50" s="47">
        <f t="shared" si="2"/>
        <v>0</v>
      </c>
      <c r="AG50" s="231">
        <f t="shared" si="3"/>
        <v>0</v>
      </c>
      <c r="AH50" s="232">
        <f t="shared" si="24"/>
        <v>0</v>
      </c>
      <c r="AI50" s="230">
        <f t="shared" si="5"/>
        <v>0</v>
      </c>
      <c r="AJ50" s="233">
        <f t="shared" si="6"/>
        <v>0</v>
      </c>
      <c r="AK50" s="234">
        <f t="shared" si="7"/>
        <v>0</v>
      </c>
      <c r="AL50" s="228">
        <f t="shared" si="28"/>
        <v>0</v>
      </c>
      <c r="AM50" s="229">
        <f t="shared" si="27"/>
        <v>0</v>
      </c>
      <c r="AN50" s="56">
        <f>'Ship Data Metric'!E51*0.03280839895</f>
        <v>0</v>
      </c>
    </row>
    <row r="51" ht="15.75" customHeight="1">
      <c r="A51" s="51"/>
      <c r="B51" s="195" t="s">
        <v>256</v>
      </c>
      <c r="C51" s="189">
        <f>C54</f>
        <v>2</v>
      </c>
      <c r="D51" s="120">
        <f t="shared" si="10"/>
        <v>0.6366182837</v>
      </c>
      <c r="E51" s="249">
        <f t="shared" si="11"/>
        <v>50.8</v>
      </c>
      <c r="F51" s="244">
        <f t="shared" si="12"/>
        <v>16.17010441</v>
      </c>
      <c r="G51" s="123">
        <f>C51/Introduction!$I$20</f>
        <v>0.02083333333</v>
      </c>
      <c r="H51" s="141">
        <f t="shared" si="13"/>
        <v>0.006631440455</v>
      </c>
      <c r="I51" s="124">
        <f>E51/Introduction!$I$20</f>
        <v>0.5291666667</v>
      </c>
      <c r="J51" s="247">
        <f t="shared" si="14"/>
        <v>0.1684385876</v>
      </c>
      <c r="K51" s="51"/>
      <c r="L51" s="51"/>
      <c r="M51" s="51"/>
      <c r="N51" s="51"/>
      <c r="O51" s="51"/>
      <c r="P51" s="51"/>
      <c r="Q51" s="51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75"/>
      <c r="AC51" s="76" t="s">
        <v>25</v>
      </c>
      <c r="AD51" s="56">
        <f>IF('Ship Data Imperial'!E52&gt;0,'Ship Data Imperial'!E52,Standing!AN51)</f>
        <v>0</v>
      </c>
      <c r="AE51" s="230">
        <f t="shared" si="23"/>
        <v>0</v>
      </c>
      <c r="AF51" s="47">
        <f t="shared" si="2"/>
        <v>0</v>
      </c>
      <c r="AG51" s="231">
        <f t="shared" si="3"/>
        <v>0</v>
      </c>
      <c r="AH51" s="232">
        <f t="shared" si="24"/>
        <v>0</v>
      </c>
      <c r="AI51" s="230">
        <f t="shared" si="5"/>
        <v>0</v>
      </c>
      <c r="AJ51" s="233">
        <f t="shared" si="6"/>
        <v>0</v>
      </c>
      <c r="AK51" s="234">
        <f t="shared" si="7"/>
        <v>0</v>
      </c>
      <c r="AL51" s="228">
        <f t="shared" si="28"/>
        <v>0</v>
      </c>
      <c r="AM51" s="229">
        <f t="shared" si="27"/>
        <v>0</v>
      </c>
      <c r="AN51" s="56">
        <f>'Ship Data Metric'!E52*0.03280839895</f>
        <v>0</v>
      </c>
    </row>
    <row r="52" ht="15.75" customHeight="1">
      <c r="A52" s="51"/>
      <c r="B52" s="195" t="s">
        <v>257</v>
      </c>
      <c r="C52" s="189">
        <f>C48</f>
        <v>1</v>
      </c>
      <c r="D52" s="120">
        <f t="shared" si="10"/>
        <v>0.3183091418</v>
      </c>
      <c r="E52" s="249">
        <f t="shared" si="11"/>
        <v>25.4</v>
      </c>
      <c r="F52" s="244">
        <f t="shared" si="12"/>
        <v>8.085052203</v>
      </c>
      <c r="G52" s="123">
        <f>C52/Introduction!$I$20</f>
        <v>0.01041666667</v>
      </c>
      <c r="H52" s="141">
        <f t="shared" si="13"/>
        <v>0.003315720227</v>
      </c>
      <c r="I52" s="124">
        <f>E52/Introduction!$I$20</f>
        <v>0.2645833333</v>
      </c>
      <c r="J52" s="247">
        <f t="shared" si="14"/>
        <v>0.08421929378</v>
      </c>
      <c r="K52" s="51"/>
      <c r="L52" s="51"/>
      <c r="M52" s="51"/>
      <c r="N52" s="51"/>
      <c r="O52" s="51"/>
      <c r="P52" s="51"/>
      <c r="Q52" s="51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75"/>
      <c r="AC52" s="76" t="s">
        <v>26</v>
      </c>
      <c r="AD52" s="56">
        <f>IF('Ship Data Imperial'!E53&gt;0,'Ship Data Imperial'!E53,Standing!AN52)</f>
        <v>0</v>
      </c>
      <c r="AE52" s="230">
        <f t="shared" si="23"/>
        <v>0</v>
      </c>
      <c r="AF52" s="47">
        <f t="shared" si="2"/>
        <v>0</v>
      </c>
      <c r="AG52" s="231">
        <f t="shared" si="3"/>
        <v>0</v>
      </c>
      <c r="AH52" s="232">
        <f t="shared" si="24"/>
        <v>0</v>
      </c>
      <c r="AI52" s="230">
        <f t="shared" si="5"/>
        <v>0</v>
      </c>
      <c r="AJ52" s="233">
        <f t="shared" si="6"/>
        <v>0</v>
      </c>
      <c r="AK52" s="234">
        <f t="shared" si="7"/>
        <v>0</v>
      </c>
      <c r="AL52" s="228">
        <f t="shared" si="28"/>
        <v>0</v>
      </c>
      <c r="AM52" s="229">
        <f t="shared" si="27"/>
        <v>0</v>
      </c>
      <c r="AN52" s="56">
        <f>'Ship Data Metric'!E53*0.03280839895</f>
        <v>0</v>
      </c>
    </row>
    <row r="53" ht="15.75" customHeight="1">
      <c r="A53" s="51"/>
      <c r="B53" s="195" t="s">
        <v>258</v>
      </c>
      <c r="C53" s="189">
        <v>1.5</v>
      </c>
      <c r="D53" s="120">
        <f t="shared" si="10"/>
        <v>0.4774637128</v>
      </c>
      <c r="E53" s="249">
        <f t="shared" si="11"/>
        <v>38.1</v>
      </c>
      <c r="F53" s="244">
        <f t="shared" si="12"/>
        <v>12.1275783</v>
      </c>
      <c r="G53" s="123">
        <f>C53/Introduction!$I$20</f>
        <v>0.015625</v>
      </c>
      <c r="H53" s="141">
        <f t="shared" si="13"/>
        <v>0.004973580341</v>
      </c>
      <c r="I53" s="124">
        <f>E53/Introduction!$I$20</f>
        <v>0.396875</v>
      </c>
      <c r="J53" s="247">
        <f t="shared" si="14"/>
        <v>0.1263289407</v>
      </c>
      <c r="K53" s="51"/>
      <c r="L53" s="51"/>
      <c r="M53" s="51"/>
      <c r="N53" s="51"/>
      <c r="O53" s="51"/>
      <c r="P53" s="51"/>
      <c r="Q53" s="51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75"/>
      <c r="AC53" s="76" t="s">
        <v>27</v>
      </c>
      <c r="AD53" s="56">
        <f>IF('Ship Data Imperial'!E54&gt;0,'Ship Data Imperial'!E54,Standing!AN53)</f>
        <v>0</v>
      </c>
      <c r="AE53" s="230">
        <f t="shared" si="23"/>
        <v>0</v>
      </c>
      <c r="AF53" s="47">
        <f t="shared" si="2"/>
        <v>0</v>
      </c>
      <c r="AG53" s="231">
        <f t="shared" si="3"/>
        <v>0</v>
      </c>
      <c r="AH53" s="232">
        <f t="shared" si="24"/>
        <v>0</v>
      </c>
      <c r="AI53" s="230">
        <f t="shared" si="5"/>
        <v>0</v>
      </c>
      <c r="AJ53" s="233">
        <f t="shared" si="6"/>
        <v>0</v>
      </c>
      <c r="AK53" s="234">
        <f t="shared" si="7"/>
        <v>0</v>
      </c>
      <c r="AL53" s="228">
        <f t="shared" si="28"/>
        <v>0</v>
      </c>
      <c r="AM53" s="229">
        <f t="shared" si="27"/>
        <v>0</v>
      </c>
      <c r="AN53" s="56">
        <f>'Ship Data Metric'!E54*0.03280839895</f>
        <v>0</v>
      </c>
    </row>
    <row r="54" ht="15.75" customHeight="1">
      <c r="A54" s="51"/>
      <c r="B54" s="195" t="s">
        <v>259</v>
      </c>
      <c r="C54" s="189">
        <f>C36</f>
        <v>2</v>
      </c>
      <c r="D54" s="120">
        <f t="shared" si="10"/>
        <v>0.6366182837</v>
      </c>
      <c r="E54" s="249">
        <f t="shared" si="11"/>
        <v>50.8</v>
      </c>
      <c r="F54" s="244">
        <f t="shared" si="12"/>
        <v>16.17010441</v>
      </c>
      <c r="G54" s="123">
        <f>C54/Introduction!$I$20</f>
        <v>0.02083333333</v>
      </c>
      <c r="H54" s="141">
        <f t="shared" si="13"/>
        <v>0.006631440455</v>
      </c>
      <c r="I54" s="124">
        <f>E54/Introduction!$I$20</f>
        <v>0.5291666667</v>
      </c>
      <c r="J54" s="247">
        <f t="shared" si="14"/>
        <v>0.1684385876</v>
      </c>
      <c r="K54" s="51"/>
      <c r="L54" s="51"/>
      <c r="M54" s="51"/>
      <c r="N54" s="51"/>
      <c r="O54" s="51"/>
      <c r="P54" s="51"/>
      <c r="Q54" s="51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75"/>
      <c r="AC54" s="76" t="s">
        <v>28</v>
      </c>
      <c r="AD54" s="56">
        <f>IF('Ship Data Imperial'!E55&gt;0,'Ship Data Imperial'!E55,Standing!AN54)</f>
        <v>0</v>
      </c>
      <c r="AE54" s="230">
        <f t="shared" si="23"/>
        <v>0</v>
      </c>
      <c r="AF54" s="47">
        <f t="shared" si="2"/>
        <v>0</v>
      </c>
      <c r="AG54" s="231">
        <f t="shared" si="3"/>
        <v>0</v>
      </c>
      <c r="AH54" s="232">
        <f t="shared" si="24"/>
        <v>0</v>
      </c>
      <c r="AI54" s="230">
        <f t="shared" si="5"/>
        <v>0</v>
      </c>
      <c r="AJ54" s="233">
        <f t="shared" si="6"/>
        <v>0</v>
      </c>
      <c r="AK54" s="234">
        <f t="shared" si="7"/>
        <v>0</v>
      </c>
      <c r="AL54" s="228">
        <f t="shared" si="28"/>
        <v>0</v>
      </c>
      <c r="AM54" s="229">
        <f t="shared" si="27"/>
        <v>0</v>
      </c>
      <c r="AN54" s="56">
        <f>'Ship Data Metric'!E55*0.03280839895</f>
        <v>0</v>
      </c>
    </row>
    <row r="55" ht="15.75" customHeight="1">
      <c r="A55" s="51"/>
      <c r="B55" s="195" t="s">
        <v>260</v>
      </c>
      <c r="C55" s="189">
        <f>C54/2</f>
        <v>1</v>
      </c>
      <c r="D55" s="120">
        <f t="shared" si="10"/>
        <v>0.3183091418</v>
      </c>
      <c r="E55" s="249">
        <f t="shared" si="11"/>
        <v>25.4</v>
      </c>
      <c r="F55" s="244">
        <f t="shared" si="12"/>
        <v>8.085052203</v>
      </c>
      <c r="G55" s="123">
        <f>C55/Introduction!$I$20</f>
        <v>0.01041666667</v>
      </c>
      <c r="H55" s="141">
        <f t="shared" si="13"/>
        <v>0.003315720227</v>
      </c>
      <c r="I55" s="124">
        <f>E55/Introduction!$I$20</f>
        <v>0.2645833333</v>
      </c>
      <c r="J55" s="247">
        <f t="shared" si="14"/>
        <v>0.08421929378</v>
      </c>
      <c r="K55" s="51"/>
      <c r="L55" s="51"/>
      <c r="M55" s="51"/>
      <c r="N55" s="51"/>
      <c r="O55" s="51"/>
      <c r="P55" s="51"/>
      <c r="Q55" s="51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75"/>
      <c r="AC55" s="76" t="s">
        <v>29</v>
      </c>
      <c r="AD55" s="56">
        <f>IF('Ship Data Imperial'!E56&gt;0,'Ship Data Imperial'!E56,Standing!AN55)</f>
        <v>0</v>
      </c>
      <c r="AE55" s="230">
        <f t="shared" si="23"/>
        <v>0</v>
      </c>
      <c r="AF55" s="47">
        <f t="shared" si="2"/>
        <v>0</v>
      </c>
      <c r="AG55" s="231">
        <f t="shared" si="3"/>
        <v>0</v>
      </c>
      <c r="AH55" s="232">
        <f t="shared" si="24"/>
        <v>0</v>
      </c>
      <c r="AI55" s="230">
        <f t="shared" si="5"/>
        <v>0</v>
      </c>
      <c r="AJ55" s="233">
        <f t="shared" si="6"/>
        <v>0</v>
      </c>
      <c r="AK55" s="234">
        <f t="shared" si="7"/>
        <v>0</v>
      </c>
      <c r="AL55" s="228">
        <f t="shared" si="28"/>
        <v>0</v>
      </c>
      <c r="AM55" s="229">
        <f t="shared" si="27"/>
        <v>0</v>
      </c>
      <c r="AN55" s="56">
        <f>'Ship Data Metric'!E56*0.03280839895</f>
        <v>0</v>
      </c>
    </row>
    <row r="56" ht="15.75" customHeight="1">
      <c r="A56" s="51"/>
      <c r="B56" s="195" t="s">
        <v>261</v>
      </c>
      <c r="C56" s="189">
        <f>C68</f>
        <v>2</v>
      </c>
      <c r="D56" s="120">
        <f t="shared" si="10"/>
        <v>0.6366182837</v>
      </c>
      <c r="E56" s="249">
        <f t="shared" si="11"/>
        <v>50.8</v>
      </c>
      <c r="F56" s="244">
        <f t="shared" si="12"/>
        <v>16.17010441</v>
      </c>
      <c r="G56" s="123">
        <f>C56/Introduction!$I$20</f>
        <v>0.02083333333</v>
      </c>
      <c r="H56" s="141">
        <f t="shared" si="13"/>
        <v>0.006631440455</v>
      </c>
      <c r="I56" s="124">
        <f>E56/Introduction!$I$20</f>
        <v>0.5291666667</v>
      </c>
      <c r="J56" s="247">
        <f t="shared" si="14"/>
        <v>0.1684385876</v>
      </c>
      <c r="K56" s="51"/>
      <c r="L56" s="51"/>
      <c r="M56" s="51"/>
      <c r="N56" s="51"/>
      <c r="O56" s="51"/>
      <c r="P56" s="51"/>
      <c r="Q56" s="51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75" t="s">
        <v>38</v>
      </c>
      <c r="AC56" s="76" t="s">
        <v>24</v>
      </c>
      <c r="AD56" s="56">
        <f>IF('Ship Data Imperial'!E57&gt;0,'Ship Data Imperial'!E57,Standing!AN56)</f>
        <v>0</v>
      </c>
      <c r="AE56" s="230">
        <f t="shared" si="23"/>
        <v>0</v>
      </c>
      <c r="AF56" s="47">
        <f t="shared" si="2"/>
        <v>0</v>
      </c>
      <c r="AG56" s="231">
        <f t="shared" si="3"/>
        <v>0</v>
      </c>
      <c r="AH56" s="232">
        <f t="shared" si="24"/>
        <v>0</v>
      </c>
      <c r="AI56" s="230">
        <f t="shared" si="5"/>
        <v>0</v>
      </c>
      <c r="AJ56" s="233">
        <f t="shared" si="6"/>
        <v>0</v>
      </c>
      <c r="AK56" s="234">
        <f t="shared" si="7"/>
        <v>0</v>
      </c>
      <c r="AL56" s="228">
        <f>IF(AD56&gt;0,$C$49*0.8,0)</f>
        <v>0</v>
      </c>
      <c r="AM56" s="229">
        <f>IF(AD56&gt;0,3.25,0)</f>
        <v>0</v>
      </c>
      <c r="AN56" s="56">
        <f>'Ship Data Metric'!E57*0.03280839895</f>
        <v>0</v>
      </c>
    </row>
    <row r="57" ht="15.75" customHeight="1">
      <c r="A57" s="51"/>
      <c r="B57" s="195" t="s">
        <v>262</v>
      </c>
      <c r="C57" s="189">
        <v>1.5</v>
      </c>
      <c r="D57" s="120">
        <f t="shared" si="10"/>
        <v>0.4774637128</v>
      </c>
      <c r="E57" s="249">
        <f t="shared" si="11"/>
        <v>38.1</v>
      </c>
      <c r="F57" s="244">
        <f t="shared" si="12"/>
        <v>12.1275783</v>
      </c>
      <c r="G57" s="123">
        <f>C57/Introduction!$I$20</f>
        <v>0.015625</v>
      </c>
      <c r="H57" s="141">
        <f t="shared" si="13"/>
        <v>0.004973580341</v>
      </c>
      <c r="I57" s="124">
        <f>E57/Introduction!$I$20</f>
        <v>0.396875</v>
      </c>
      <c r="J57" s="247">
        <f t="shared" si="14"/>
        <v>0.1263289407</v>
      </c>
      <c r="K57" s="51"/>
      <c r="L57" s="51"/>
      <c r="M57" s="51"/>
      <c r="N57" s="51"/>
      <c r="O57" s="51"/>
      <c r="P57" s="51"/>
      <c r="Q57" s="51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75"/>
      <c r="AC57" s="76" t="s">
        <v>25</v>
      </c>
      <c r="AD57" s="56">
        <f>IF('Ship Data Imperial'!E58&gt;0,'Ship Data Imperial'!E58,Standing!AN57)</f>
        <v>0</v>
      </c>
      <c r="AE57" s="230">
        <f t="shared" si="23"/>
        <v>0</v>
      </c>
      <c r="AF57" s="47">
        <f t="shared" si="2"/>
        <v>0</v>
      </c>
      <c r="AG57" s="231">
        <f t="shared" si="3"/>
        <v>0</v>
      </c>
      <c r="AH57" s="232">
        <f t="shared" si="24"/>
        <v>0</v>
      </c>
      <c r="AI57" s="230">
        <f t="shared" si="5"/>
        <v>0</v>
      </c>
      <c r="AJ57" s="233">
        <f t="shared" si="6"/>
        <v>0</v>
      </c>
      <c r="AK57" s="234">
        <f t="shared" si="7"/>
        <v>0</v>
      </c>
      <c r="AL57" s="228">
        <f>IF(AD57&gt;0,$C$49*0.75,0)</f>
        <v>0</v>
      </c>
      <c r="AM57" s="229">
        <f t="shared" ref="AM57:AM61" si="30">IF(AD57&gt;0,3,0)</f>
        <v>0</v>
      </c>
      <c r="AN57" s="56">
        <f>'Ship Data Metric'!E58*0.03280839895</f>
        <v>0</v>
      </c>
    </row>
    <row r="58" ht="15.75" customHeight="1">
      <c r="A58" s="51"/>
      <c r="B58" s="250" t="s">
        <v>263</v>
      </c>
      <c r="C58" s="251">
        <f>C44</f>
        <v>3.536102362</v>
      </c>
      <c r="D58" s="252">
        <f t="shared" si="10"/>
        <v>1.125573708</v>
      </c>
      <c r="E58" s="253">
        <f t="shared" si="11"/>
        <v>89.817</v>
      </c>
      <c r="F58" s="254">
        <f t="shared" si="12"/>
        <v>28.58957219</v>
      </c>
      <c r="G58" s="113">
        <f>C58/Introduction!$I$20</f>
        <v>0.03683439961</v>
      </c>
      <c r="H58" s="255">
        <f t="shared" si="13"/>
        <v>0.01172472613</v>
      </c>
      <c r="I58" s="115">
        <f>E58/Introduction!$I$20</f>
        <v>0.93559375</v>
      </c>
      <c r="J58" s="256">
        <f t="shared" si="14"/>
        <v>0.2978080437</v>
      </c>
      <c r="K58" s="51"/>
      <c r="L58" s="51"/>
      <c r="M58" s="51"/>
      <c r="N58" s="51"/>
      <c r="O58" s="51"/>
      <c r="P58" s="51"/>
      <c r="Q58" s="51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75"/>
      <c r="AC58" s="76" t="s">
        <v>26</v>
      </c>
      <c r="AD58" s="56">
        <f>IF('Ship Data Imperial'!E59&gt;0,'Ship Data Imperial'!E59,Standing!AN58)</f>
        <v>0</v>
      </c>
      <c r="AE58" s="230">
        <f t="shared" si="23"/>
        <v>0</v>
      </c>
      <c r="AF58" s="47">
        <f t="shared" si="2"/>
        <v>0</v>
      </c>
      <c r="AG58" s="231">
        <f t="shared" si="3"/>
        <v>0</v>
      </c>
      <c r="AH58" s="232">
        <f t="shared" si="24"/>
        <v>0</v>
      </c>
      <c r="AI58" s="230">
        <f t="shared" si="5"/>
        <v>0</v>
      </c>
      <c r="AJ58" s="233">
        <f t="shared" si="6"/>
        <v>0</v>
      </c>
      <c r="AK58" s="234">
        <f t="shared" si="7"/>
        <v>0</v>
      </c>
      <c r="AL58" s="228">
        <f t="shared" ref="AL58:AL61" si="31">IF(AD58&gt;0,$C$49*0.66,0)</f>
        <v>0</v>
      </c>
      <c r="AM58" s="229">
        <f t="shared" si="30"/>
        <v>0</v>
      </c>
      <c r="AN58" s="56">
        <f>'Ship Data Metric'!E59*0.03280839895</f>
        <v>0</v>
      </c>
    </row>
    <row r="59" ht="15.75" customHeight="1">
      <c r="A59" s="51"/>
      <c r="B59" s="195" t="s">
        <v>264</v>
      </c>
      <c r="C59" s="189">
        <f>C58/2</f>
        <v>1.768051181</v>
      </c>
      <c r="D59" s="120">
        <f t="shared" si="10"/>
        <v>0.5627868542</v>
      </c>
      <c r="E59" s="249">
        <f t="shared" si="11"/>
        <v>44.9085</v>
      </c>
      <c r="F59" s="244">
        <f t="shared" si="12"/>
        <v>14.2947861</v>
      </c>
      <c r="G59" s="123">
        <f>C59/Introduction!$I$20</f>
        <v>0.0184171998</v>
      </c>
      <c r="H59" s="141">
        <f t="shared" si="13"/>
        <v>0.005862363064</v>
      </c>
      <c r="I59" s="124">
        <f>E59/Introduction!$I$20</f>
        <v>0.467796875</v>
      </c>
      <c r="J59" s="247">
        <f t="shared" si="14"/>
        <v>0.1489040218</v>
      </c>
      <c r="K59" s="51"/>
      <c r="L59" s="51"/>
      <c r="M59" s="51"/>
      <c r="N59" s="51"/>
      <c r="O59" s="51"/>
      <c r="P59" s="51"/>
      <c r="Q59" s="51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75"/>
      <c r="AC59" s="76" t="s">
        <v>27</v>
      </c>
      <c r="AD59" s="56">
        <f>IF('Ship Data Imperial'!E60&gt;0,'Ship Data Imperial'!E60,Standing!AN59)</f>
        <v>0</v>
      </c>
      <c r="AE59" s="230">
        <f t="shared" si="23"/>
        <v>0</v>
      </c>
      <c r="AF59" s="47">
        <f t="shared" si="2"/>
        <v>0</v>
      </c>
      <c r="AG59" s="231">
        <f t="shared" si="3"/>
        <v>0</v>
      </c>
      <c r="AH59" s="232">
        <f t="shared" si="24"/>
        <v>0</v>
      </c>
      <c r="AI59" s="230">
        <f t="shared" si="5"/>
        <v>0</v>
      </c>
      <c r="AJ59" s="233">
        <f t="shared" si="6"/>
        <v>0</v>
      </c>
      <c r="AK59" s="234">
        <f t="shared" si="7"/>
        <v>0</v>
      </c>
      <c r="AL59" s="228">
        <f t="shared" si="31"/>
        <v>0</v>
      </c>
      <c r="AM59" s="229">
        <f t="shared" si="30"/>
        <v>0</v>
      </c>
      <c r="AN59" s="56">
        <f>'Ship Data Metric'!E60*0.03280839895</f>
        <v>0</v>
      </c>
    </row>
    <row r="60" ht="15.75" customHeight="1">
      <c r="A60" s="51"/>
      <c r="B60" s="195" t="s">
        <v>265</v>
      </c>
      <c r="C60" s="189">
        <f t="shared" ref="C60:C61" si="32">C58</f>
        <v>3.536102362</v>
      </c>
      <c r="D60" s="120">
        <f t="shared" si="10"/>
        <v>1.125573708</v>
      </c>
      <c r="E60" s="249">
        <f t="shared" si="11"/>
        <v>89.817</v>
      </c>
      <c r="F60" s="244">
        <f t="shared" si="12"/>
        <v>28.58957219</v>
      </c>
      <c r="G60" s="123">
        <f>C60/Introduction!$I$20</f>
        <v>0.03683439961</v>
      </c>
      <c r="H60" s="141">
        <f t="shared" si="13"/>
        <v>0.01172472613</v>
      </c>
      <c r="I60" s="124">
        <f>E60/Introduction!$I$20</f>
        <v>0.93559375</v>
      </c>
      <c r="J60" s="247">
        <f t="shared" si="14"/>
        <v>0.2978080437</v>
      </c>
      <c r="K60" s="51"/>
      <c r="L60" s="51"/>
      <c r="M60" s="51"/>
      <c r="N60" s="51"/>
      <c r="O60" s="51"/>
      <c r="P60" s="51"/>
      <c r="Q60" s="51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75"/>
      <c r="AC60" s="76" t="s">
        <v>28</v>
      </c>
      <c r="AD60" s="56">
        <f>IF('Ship Data Imperial'!E61&gt;0,'Ship Data Imperial'!E61,Standing!AN60)</f>
        <v>0</v>
      </c>
      <c r="AE60" s="230">
        <f t="shared" si="23"/>
        <v>0</v>
      </c>
      <c r="AF60" s="47">
        <f t="shared" si="2"/>
        <v>0</v>
      </c>
      <c r="AG60" s="231">
        <f t="shared" si="3"/>
        <v>0</v>
      </c>
      <c r="AH60" s="232">
        <f t="shared" si="24"/>
        <v>0</v>
      </c>
      <c r="AI60" s="230">
        <f t="shared" si="5"/>
        <v>0</v>
      </c>
      <c r="AJ60" s="233">
        <f t="shared" si="6"/>
        <v>0</v>
      </c>
      <c r="AK60" s="234">
        <f t="shared" si="7"/>
        <v>0</v>
      </c>
      <c r="AL60" s="228">
        <f t="shared" si="31"/>
        <v>0</v>
      </c>
      <c r="AM60" s="229">
        <f t="shared" si="30"/>
        <v>0</v>
      </c>
      <c r="AN60" s="56">
        <f>'Ship Data Metric'!E61*0.03280839895</f>
        <v>0</v>
      </c>
    </row>
    <row r="61" ht="15.75" customHeight="1">
      <c r="A61" s="51"/>
      <c r="B61" s="195" t="s">
        <v>266</v>
      </c>
      <c r="C61" s="189">
        <f t="shared" si="32"/>
        <v>1.768051181</v>
      </c>
      <c r="D61" s="120">
        <f t="shared" si="10"/>
        <v>0.5627868542</v>
      </c>
      <c r="E61" s="249">
        <f t="shared" si="11"/>
        <v>44.9085</v>
      </c>
      <c r="F61" s="244">
        <f t="shared" si="12"/>
        <v>14.2947861</v>
      </c>
      <c r="G61" s="123">
        <f>C61/Introduction!$I$20</f>
        <v>0.0184171998</v>
      </c>
      <c r="H61" s="141">
        <f t="shared" si="13"/>
        <v>0.005862363064</v>
      </c>
      <c r="I61" s="124">
        <f>E61/Introduction!$I$20</f>
        <v>0.467796875</v>
      </c>
      <c r="J61" s="247">
        <f t="shared" si="14"/>
        <v>0.1489040218</v>
      </c>
      <c r="K61" s="51"/>
      <c r="L61" s="51"/>
      <c r="M61" s="51"/>
      <c r="N61" s="51"/>
      <c r="O61" s="51"/>
      <c r="P61" s="51"/>
      <c r="Q61" s="51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75"/>
      <c r="AC61" s="76" t="s">
        <v>29</v>
      </c>
      <c r="AD61" s="56">
        <f>IF('Ship Data Imperial'!E62&gt;0,'Ship Data Imperial'!E62,Standing!AN61)</f>
        <v>0</v>
      </c>
      <c r="AE61" s="230">
        <f t="shared" si="23"/>
        <v>0</v>
      </c>
      <c r="AF61" s="47">
        <f t="shared" si="2"/>
        <v>0</v>
      </c>
      <c r="AG61" s="231">
        <f t="shared" si="3"/>
        <v>0</v>
      </c>
      <c r="AH61" s="232">
        <f t="shared" si="24"/>
        <v>0</v>
      </c>
      <c r="AI61" s="230">
        <f t="shared" si="5"/>
        <v>0</v>
      </c>
      <c r="AJ61" s="233">
        <f t="shared" si="6"/>
        <v>0</v>
      </c>
      <c r="AK61" s="234">
        <f t="shared" si="7"/>
        <v>0</v>
      </c>
      <c r="AL61" s="228">
        <f t="shared" si="31"/>
        <v>0</v>
      </c>
      <c r="AM61" s="229">
        <f t="shared" si="30"/>
        <v>0</v>
      </c>
      <c r="AN61" s="56">
        <f>'Ship Data Metric'!E62*0.03280839895</f>
        <v>0</v>
      </c>
    </row>
    <row r="62" ht="15.75" customHeight="1">
      <c r="A62" s="51"/>
      <c r="B62" s="195" t="s">
        <v>267</v>
      </c>
      <c r="C62" s="189">
        <f>C49*0.7</f>
        <v>1.633679291</v>
      </c>
      <c r="D62" s="120">
        <f t="shared" si="10"/>
        <v>0.5200150533</v>
      </c>
      <c r="E62" s="249">
        <f t="shared" si="11"/>
        <v>41.495454</v>
      </c>
      <c r="F62" s="244">
        <f t="shared" si="12"/>
        <v>13.20838235</v>
      </c>
      <c r="G62" s="123">
        <f>C62/Introduction!$I$20</f>
        <v>0.01701749262</v>
      </c>
      <c r="H62" s="141">
        <f t="shared" si="13"/>
        <v>0.005416823471</v>
      </c>
      <c r="I62" s="124">
        <f>E62/Introduction!$I$20</f>
        <v>0.4322443125</v>
      </c>
      <c r="J62" s="247">
        <f t="shared" si="14"/>
        <v>0.1375873162</v>
      </c>
      <c r="K62" s="51"/>
      <c r="L62" s="51"/>
      <c r="M62" s="51"/>
      <c r="N62" s="51"/>
      <c r="O62" s="51"/>
      <c r="P62" s="51"/>
      <c r="Q62" s="51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75" t="s">
        <v>39</v>
      </c>
      <c r="AC62" s="158" t="s">
        <v>24</v>
      </c>
      <c r="AD62" s="56">
        <f>IF('Ship Data Imperial'!E63&gt;0,'Ship Data Imperial'!E63,Standing!AN62)</f>
        <v>0</v>
      </c>
      <c r="AE62" s="230">
        <f t="shared" si="23"/>
        <v>0</v>
      </c>
      <c r="AF62" s="47">
        <f t="shared" si="2"/>
        <v>0</v>
      </c>
      <c r="AG62" s="231">
        <f t="shared" si="3"/>
        <v>0</v>
      </c>
      <c r="AH62" s="232">
        <f t="shared" si="24"/>
        <v>0</v>
      </c>
      <c r="AI62" s="230">
        <f t="shared" si="5"/>
        <v>0</v>
      </c>
      <c r="AJ62" s="233">
        <f t="shared" si="6"/>
        <v>0</v>
      </c>
      <c r="AK62" s="234">
        <f t="shared" ref="AK62:AK135" si="33">IF(AD62&gt;0,$C$26/2,0)</f>
        <v>0</v>
      </c>
      <c r="AL62" s="228">
        <f t="shared" ref="AL62:AL65" si="34">IF(AD62&gt;0,$C$49*0.8,0)</f>
        <v>0</v>
      </c>
      <c r="AM62" s="229">
        <f t="shared" ref="AM62:AM66" si="35">IF(AD62&gt;0,3.25,0)</f>
        <v>0</v>
      </c>
      <c r="AN62" s="56">
        <f>'Ship Data Metric'!E63*0.03280839895</f>
        <v>0</v>
      </c>
    </row>
    <row r="63" ht="15.75" customHeight="1">
      <c r="A63" s="51"/>
      <c r="B63" s="195" t="s">
        <v>268</v>
      </c>
      <c r="C63" s="189">
        <f>C49*0.45</f>
        <v>1.050222402</v>
      </c>
      <c r="D63" s="120">
        <f t="shared" si="10"/>
        <v>0.3342953914</v>
      </c>
      <c r="E63" s="249">
        <f t="shared" si="11"/>
        <v>26.675649</v>
      </c>
      <c r="F63" s="244">
        <f t="shared" si="12"/>
        <v>8.491102941</v>
      </c>
      <c r="G63" s="123">
        <f>C63/Introduction!$I$20</f>
        <v>0.01093981668</v>
      </c>
      <c r="H63" s="141">
        <f t="shared" si="13"/>
        <v>0.00348224366</v>
      </c>
      <c r="I63" s="124">
        <f>E63/Introduction!$I$20</f>
        <v>0.2778713437</v>
      </c>
      <c r="J63" s="247">
        <f t="shared" si="14"/>
        <v>0.08844898897</v>
      </c>
      <c r="K63" s="51"/>
      <c r="L63" s="51"/>
      <c r="M63" s="51"/>
      <c r="N63" s="51"/>
      <c r="O63" s="51"/>
      <c r="P63" s="51"/>
      <c r="Q63" s="51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75"/>
      <c r="AC63" s="158" t="s">
        <v>25</v>
      </c>
      <c r="AD63" s="56">
        <f>IF('Ship Data Imperial'!E64&gt;0,'Ship Data Imperial'!E64,Standing!AN63)</f>
        <v>0</v>
      </c>
      <c r="AE63" s="230">
        <f t="shared" si="23"/>
        <v>0</v>
      </c>
      <c r="AF63" s="47">
        <f t="shared" si="2"/>
        <v>0</v>
      </c>
      <c r="AG63" s="231">
        <f t="shared" si="3"/>
        <v>0</v>
      </c>
      <c r="AH63" s="232">
        <f t="shared" si="24"/>
        <v>0</v>
      </c>
      <c r="AI63" s="230">
        <f t="shared" si="5"/>
        <v>0</v>
      </c>
      <c r="AJ63" s="233">
        <f t="shared" si="6"/>
        <v>0</v>
      </c>
      <c r="AK63" s="234">
        <f t="shared" si="33"/>
        <v>0</v>
      </c>
      <c r="AL63" s="228">
        <f t="shared" si="34"/>
        <v>0</v>
      </c>
      <c r="AM63" s="229">
        <f t="shared" si="35"/>
        <v>0</v>
      </c>
      <c r="AN63" s="56">
        <f>'Ship Data Metric'!E64*0.03280839895</f>
        <v>0</v>
      </c>
    </row>
    <row r="64" ht="15.75" customHeight="1">
      <c r="A64" s="51"/>
      <c r="B64" s="195" t="s">
        <v>269</v>
      </c>
      <c r="C64" s="189">
        <f t="shared" ref="C64:C65" si="36">C62</f>
        <v>1.633679291</v>
      </c>
      <c r="D64" s="120">
        <f t="shared" si="10"/>
        <v>0.5200150533</v>
      </c>
      <c r="E64" s="249">
        <f t="shared" si="11"/>
        <v>41.495454</v>
      </c>
      <c r="F64" s="244">
        <f t="shared" si="12"/>
        <v>13.20838235</v>
      </c>
      <c r="G64" s="123">
        <f>C64/Introduction!$I$20</f>
        <v>0.01701749262</v>
      </c>
      <c r="H64" s="141">
        <f t="shared" si="13"/>
        <v>0.005416823471</v>
      </c>
      <c r="I64" s="124">
        <f>E64/Introduction!$I$20</f>
        <v>0.4322443125</v>
      </c>
      <c r="J64" s="247">
        <f t="shared" si="14"/>
        <v>0.1375873162</v>
      </c>
      <c r="K64" s="51"/>
      <c r="L64" s="51"/>
      <c r="M64" s="51"/>
      <c r="N64" s="51"/>
      <c r="O64" s="51"/>
      <c r="P64" s="51"/>
      <c r="Q64" s="51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75"/>
      <c r="AC64" s="158" t="s">
        <v>40</v>
      </c>
      <c r="AD64" s="56">
        <f>IF('Ship Data Imperial'!E65&gt;0,'Ship Data Imperial'!E65,Standing!AN64)</f>
        <v>0</v>
      </c>
      <c r="AE64" s="230">
        <f t="shared" si="23"/>
        <v>0</v>
      </c>
      <c r="AF64" s="47">
        <f t="shared" si="2"/>
        <v>0</v>
      </c>
      <c r="AG64" s="231">
        <f t="shared" si="3"/>
        <v>0</v>
      </c>
      <c r="AH64" s="232">
        <f t="shared" si="24"/>
        <v>0</v>
      </c>
      <c r="AI64" s="230">
        <f t="shared" si="5"/>
        <v>0</v>
      </c>
      <c r="AJ64" s="233">
        <f t="shared" si="6"/>
        <v>0</v>
      </c>
      <c r="AK64" s="234">
        <f t="shared" si="33"/>
        <v>0</v>
      </c>
      <c r="AL64" s="228">
        <f t="shared" si="34"/>
        <v>0</v>
      </c>
      <c r="AM64" s="229">
        <f t="shared" si="35"/>
        <v>0</v>
      </c>
      <c r="AN64" s="56">
        <f>'Ship Data Metric'!E65*0.03280839895</f>
        <v>0</v>
      </c>
    </row>
    <row r="65" ht="15.75" customHeight="1">
      <c r="A65" s="51"/>
      <c r="B65" s="195" t="s">
        <v>270</v>
      </c>
      <c r="C65" s="189">
        <f t="shared" si="36"/>
        <v>1.050222402</v>
      </c>
      <c r="D65" s="120">
        <f t="shared" si="10"/>
        <v>0.3342953914</v>
      </c>
      <c r="E65" s="249">
        <f t="shared" si="11"/>
        <v>26.675649</v>
      </c>
      <c r="F65" s="244">
        <f t="shared" si="12"/>
        <v>8.491102941</v>
      </c>
      <c r="G65" s="123">
        <f>C65/Introduction!$I$20</f>
        <v>0.01093981668</v>
      </c>
      <c r="H65" s="141">
        <f t="shared" si="13"/>
        <v>0.00348224366</v>
      </c>
      <c r="I65" s="124">
        <f>E65/Introduction!$I$20</f>
        <v>0.2778713437</v>
      </c>
      <c r="J65" s="247">
        <f t="shared" si="14"/>
        <v>0.08844898897</v>
      </c>
      <c r="K65" s="51"/>
      <c r="L65" s="51"/>
      <c r="M65" s="51"/>
      <c r="N65" s="51"/>
      <c r="O65" s="51"/>
      <c r="P65" s="51"/>
      <c r="Q65" s="51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75"/>
      <c r="AC65" s="158" t="s">
        <v>41</v>
      </c>
      <c r="AD65" s="56">
        <f>IF('Ship Data Imperial'!E66&gt;0,'Ship Data Imperial'!E66,Standing!AN65)</f>
        <v>0</v>
      </c>
      <c r="AE65" s="230">
        <f t="shared" si="23"/>
        <v>0</v>
      </c>
      <c r="AF65" s="47">
        <f t="shared" si="2"/>
        <v>0</v>
      </c>
      <c r="AG65" s="231">
        <f t="shared" si="3"/>
        <v>0</v>
      </c>
      <c r="AH65" s="232">
        <f t="shared" si="24"/>
        <v>0</v>
      </c>
      <c r="AI65" s="230">
        <f t="shared" si="5"/>
        <v>0</v>
      </c>
      <c r="AJ65" s="233">
        <f t="shared" si="6"/>
        <v>0</v>
      </c>
      <c r="AK65" s="234">
        <f t="shared" si="33"/>
        <v>0</v>
      </c>
      <c r="AL65" s="228">
        <f t="shared" si="34"/>
        <v>0</v>
      </c>
      <c r="AM65" s="229">
        <f t="shared" si="35"/>
        <v>0</v>
      </c>
      <c r="AN65" s="56">
        <f>'Ship Data Metric'!E66*0.03280839895</f>
        <v>0</v>
      </c>
    </row>
    <row r="66" ht="15.75" customHeight="1">
      <c r="A66" s="51"/>
      <c r="B66" s="195" t="s">
        <v>271</v>
      </c>
      <c r="C66" s="189">
        <f>C54</f>
        <v>2</v>
      </c>
      <c r="D66" s="120">
        <f t="shared" si="10"/>
        <v>0.6366182837</v>
      </c>
      <c r="E66" s="249">
        <f t="shared" si="11"/>
        <v>50.8</v>
      </c>
      <c r="F66" s="244">
        <f t="shared" si="12"/>
        <v>16.17010441</v>
      </c>
      <c r="G66" s="123">
        <f>C66/Introduction!$I$20</f>
        <v>0.02083333333</v>
      </c>
      <c r="H66" s="141">
        <f t="shared" si="13"/>
        <v>0.006631440455</v>
      </c>
      <c r="I66" s="124">
        <f>E66/Introduction!$I$20</f>
        <v>0.5291666667</v>
      </c>
      <c r="J66" s="247">
        <f t="shared" si="14"/>
        <v>0.1684385876</v>
      </c>
      <c r="K66" s="51"/>
      <c r="L66" s="51"/>
      <c r="M66" s="51"/>
      <c r="N66" s="51"/>
      <c r="O66" s="51"/>
      <c r="P66" s="51"/>
      <c r="Q66" s="51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75"/>
      <c r="AC66" s="158" t="s">
        <v>42</v>
      </c>
      <c r="AD66" s="56">
        <f>IF('Ship Data Imperial'!E67&gt;0,'Ship Data Imperial'!E67,Standing!AN66)</f>
        <v>0</v>
      </c>
      <c r="AE66" s="230">
        <f t="shared" si="23"/>
        <v>0</v>
      </c>
      <c r="AF66" s="47">
        <f t="shared" si="2"/>
        <v>0</v>
      </c>
      <c r="AG66" s="231">
        <f t="shared" si="3"/>
        <v>0</v>
      </c>
      <c r="AH66" s="232">
        <f t="shared" si="24"/>
        <v>0</v>
      </c>
      <c r="AI66" s="230">
        <f t="shared" si="5"/>
        <v>0</v>
      </c>
      <c r="AJ66" s="233">
        <f t="shared" si="6"/>
        <v>0</v>
      </c>
      <c r="AK66" s="234">
        <f t="shared" si="33"/>
        <v>0</v>
      </c>
      <c r="AL66" s="228">
        <f t="shared" ref="AL66:AL69" si="37">IF(AD66&gt;0,$C$49*0.75,0)</f>
        <v>0</v>
      </c>
      <c r="AM66" s="229">
        <f t="shared" si="35"/>
        <v>0</v>
      </c>
      <c r="AN66" s="56">
        <f>'Ship Data Metric'!E67*0.03280839895</f>
        <v>0</v>
      </c>
    </row>
    <row r="67" ht="15.75" customHeight="1">
      <c r="A67" s="51"/>
      <c r="B67" s="195" t="s">
        <v>272</v>
      </c>
      <c r="C67" s="119">
        <f>C66/2</f>
        <v>1</v>
      </c>
      <c r="D67" s="120">
        <f t="shared" si="10"/>
        <v>0.3183091418</v>
      </c>
      <c r="E67" s="249">
        <f t="shared" si="11"/>
        <v>25.4</v>
      </c>
      <c r="F67" s="244">
        <f t="shared" si="12"/>
        <v>8.085052203</v>
      </c>
      <c r="G67" s="123">
        <f>C67/Introduction!$I$20</f>
        <v>0.01041666667</v>
      </c>
      <c r="H67" s="141">
        <f t="shared" si="13"/>
        <v>0.003315720227</v>
      </c>
      <c r="I67" s="124">
        <f>E67/Introduction!$I$20</f>
        <v>0.2645833333</v>
      </c>
      <c r="J67" s="247">
        <f t="shared" si="14"/>
        <v>0.08421929378</v>
      </c>
      <c r="K67" s="51"/>
      <c r="L67" s="51"/>
      <c r="M67" s="51"/>
      <c r="N67" s="51"/>
      <c r="O67" s="51"/>
      <c r="P67" s="51"/>
      <c r="Q67" s="51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75"/>
      <c r="AC67" s="158" t="s">
        <v>43</v>
      </c>
      <c r="AD67" s="56">
        <f>IF('Ship Data Imperial'!E68&gt;0,'Ship Data Imperial'!E68,Standing!AN67)</f>
        <v>0</v>
      </c>
      <c r="AE67" s="230">
        <f t="shared" si="23"/>
        <v>0</v>
      </c>
      <c r="AF67" s="47">
        <f t="shared" si="2"/>
        <v>0</v>
      </c>
      <c r="AG67" s="231">
        <f t="shared" si="3"/>
        <v>0</v>
      </c>
      <c r="AH67" s="232">
        <f t="shared" si="24"/>
        <v>0</v>
      </c>
      <c r="AI67" s="230">
        <f t="shared" si="5"/>
        <v>0</v>
      </c>
      <c r="AJ67" s="233">
        <f t="shared" si="6"/>
        <v>0</v>
      </c>
      <c r="AK67" s="234">
        <f t="shared" si="33"/>
        <v>0</v>
      </c>
      <c r="AL67" s="228">
        <f t="shared" si="37"/>
        <v>0</v>
      </c>
      <c r="AM67" s="229">
        <f t="shared" ref="AM67:AM70" si="38">IF(AD67&gt;0,3,0)</f>
        <v>0</v>
      </c>
      <c r="AN67" s="56">
        <f>'Ship Data Metric'!E68*0.03280839895</f>
        <v>0</v>
      </c>
    </row>
    <row r="68" ht="15.75" customHeight="1">
      <c r="A68" s="51"/>
      <c r="B68" s="195" t="s">
        <v>273</v>
      </c>
      <c r="C68" s="119">
        <f>C37</f>
        <v>2</v>
      </c>
      <c r="D68" s="120">
        <f t="shared" si="10"/>
        <v>0.6366182837</v>
      </c>
      <c r="E68" s="249">
        <f t="shared" si="11"/>
        <v>50.8</v>
      </c>
      <c r="F68" s="244">
        <f t="shared" si="12"/>
        <v>16.17010441</v>
      </c>
      <c r="G68" s="123">
        <f>C68/Introduction!$I$20</f>
        <v>0.02083333333</v>
      </c>
      <c r="H68" s="141">
        <f t="shared" si="13"/>
        <v>0.006631440455</v>
      </c>
      <c r="I68" s="124">
        <f>E68/Introduction!$I$20</f>
        <v>0.5291666667</v>
      </c>
      <c r="J68" s="247">
        <f t="shared" si="14"/>
        <v>0.1684385876</v>
      </c>
      <c r="K68" s="51"/>
      <c r="L68" s="51"/>
      <c r="M68" s="51"/>
      <c r="N68" s="51"/>
      <c r="O68" s="51"/>
      <c r="P68" s="51"/>
      <c r="Q68" s="51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75"/>
      <c r="AC68" s="158" t="s">
        <v>44</v>
      </c>
      <c r="AD68" s="56">
        <f>IF('Ship Data Imperial'!E69&gt;0,'Ship Data Imperial'!E69,Standing!AN68)</f>
        <v>0</v>
      </c>
      <c r="AE68" s="230">
        <f t="shared" si="23"/>
        <v>0</v>
      </c>
      <c r="AF68" s="47">
        <f t="shared" si="2"/>
        <v>0</v>
      </c>
      <c r="AG68" s="231">
        <f t="shared" si="3"/>
        <v>0</v>
      </c>
      <c r="AH68" s="232">
        <f t="shared" si="24"/>
        <v>0</v>
      </c>
      <c r="AI68" s="230">
        <f t="shared" si="5"/>
        <v>0</v>
      </c>
      <c r="AJ68" s="233">
        <f t="shared" si="6"/>
        <v>0</v>
      </c>
      <c r="AK68" s="234">
        <f t="shared" si="33"/>
        <v>0</v>
      </c>
      <c r="AL68" s="228">
        <f t="shared" si="37"/>
        <v>0</v>
      </c>
      <c r="AM68" s="229">
        <f t="shared" si="38"/>
        <v>0</v>
      </c>
      <c r="AN68" s="56">
        <f>'Ship Data Metric'!E69*0.03280839895</f>
        <v>0</v>
      </c>
    </row>
    <row r="69" ht="15.75" customHeight="1">
      <c r="A69" s="51"/>
      <c r="B69" s="195" t="s">
        <v>274</v>
      </c>
      <c r="C69" s="119">
        <f>C68/2</f>
        <v>1</v>
      </c>
      <c r="D69" s="120">
        <f t="shared" si="10"/>
        <v>0.3183091418</v>
      </c>
      <c r="E69" s="249">
        <f t="shared" si="11"/>
        <v>25.4</v>
      </c>
      <c r="F69" s="244">
        <f t="shared" si="12"/>
        <v>8.085052203</v>
      </c>
      <c r="G69" s="123">
        <f>C69/Introduction!$I$20</f>
        <v>0.01041666667</v>
      </c>
      <c r="H69" s="141">
        <f t="shared" si="13"/>
        <v>0.003315720227</v>
      </c>
      <c r="I69" s="124">
        <f>E69/Introduction!$I$20</f>
        <v>0.2645833333</v>
      </c>
      <c r="J69" s="247">
        <f t="shared" si="14"/>
        <v>0.08421929378</v>
      </c>
      <c r="K69" s="51"/>
      <c r="L69" s="51"/>
      <c r="M69" s="51"/>
      <c r="N69" s="51"/>
      <c r="O69" s="51"/>
      <c r="P69" s="51"/>
      <c r="Q69" s="51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75"/>
      <c r="AC69" s="158" t="s">
        <v>45</v>
      </c>
      <c r="AD69" s="56">
        <f>IF('Ship Data Imperial'!E70&gt;0,'Ship Data Imperial'!E70,Standing!AN69)</f>
        <v>0</v>
      </c>
      <c r="AE69" s="230">
        <f t="shared" si="23"/>
        <v>0</v>
      </c>
      <c r="AF69" s="47">
        <f t="shared" si="2"/>
        <v>0</v>
      </c>
      <c r="AG69" s="231">
        <f t="shared" si="3"/>
        <v>0</v>
      </c>
      <c r="AH69" s="232">
        <f t="shared" si="24"/>
        <v>0</v>
      </c>
      <c r="AI69" s="230">
        <f t="shared" si="5"/>
        <v>0</v>
      </c>
      <c r="AJ69" s="233">
        <f t="shared" si="6"/>
        <v>0</v>
      </c>
      <c r="AK69" s="234">
        <f t="shared" si="33"/>
        <v>0</v>
      </c>
      <c r="AL69" s="228">
        <f t="shared" si="37"/>
        <v>0</v>
      </c>
      <c r="AM69" s="229">
        <f t="shared" si="38"/>
        <v>0</v>
      </c>
      <c r="AN69" s="56">
        <f>'Ship Data Metric'!E70*0.03280839895</f>
        <v>0</v>
      </c>
    </row>
    <row r="70" ht="15.75" customHeight="1">
      <c r="A70" s="51"/>
      <c r="B70" s="195" t="s">
        <v>275</v>
      </c>
      <c r="C70" s="119">
        <f>C32</f>
        <v>2.946751968</v>
      </c>
      <c r="D70" s="120">
        <f t="shared" si="10"/>
        <v>0.9379780903</v>
      </c>
      <c r="E70" s="249">
        <f t="shared" si="11"/>
        <v>74.8475</v>
      </c>
      <c r="F70" s="244">
        <f t="shared" si="12"/>
        <v>23.82464349</v>
      </c>
      <c r="G70" s="123">
        <f>C70/Introduction!$I$20</f>
        <v>0.03069533301</v>
      </c>
      <c r="H70" s="141">
        <f t="shared" si="13"/>
        <v>0.009770605107</v>
      </c>
      <c r="I70" s="124">
        <f>E70/Introduction!$I$20</f>
        <v>0.7796614583</v>
      </c>
      <c r="J70" s="247">
        <f t="shared" si="14"/>
        <v>0.2481733697</v>
      </c>
      <c r="K70" s="51"/>
      <c r="L70" s="51"/>
      <c r="M70" s="51"/>
      <c r="N70" s="51"/>
      <c r="O70" s="51"/>
      <c r="P70" s="51"/>
      <c r="Q70" s="51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75"/>
      <c r="AC70" s="158" t="s">
        <v>46</v>
      </c>
      <c r="AD70" s="56">
        <f>IF('Ship Data Imperial'!E71&gt;0,'Ship Data Imperial'!E71,Standing!AN70)</f>
        <v>0</v>
      </c>
      <c r="AE70" s="230">
        <f t="shared" si="23"/>
        <v>0</v>
      </c>
      <c r="AF70" s="47">
        <f t="shared" si="2"/>
        <v>0</v>
      </c>
      <c r="AG70" s="231">
        <f t="shared" si="3"/>
        <v>0</v>
      </c>
      <c r="AH70" s="232">
        <f t="shared" si="24"/>
        <v>0</v>
      </c>
      <c r="AI70" s="230">
        <f t="shared" si="5"/>
        <v>0</v>
      </c>
      <c r="AJ70" s="233">
        <f t="shared" si="6"/>
        <v>0</v>
      </c>
      <c r="AK70" s="234">
        <f t="shared" si="33"/>
        <v>0</v>
      </c>
      <c r="AL70" s="228">
        <f>IF(AD70&gt;0,$C$49*0.66,0)</f>
        <v>0</v>
      </c>
      <c r="AM70" s="229">
        <f t="shared" si="38"/>
        <v>0</v>
      </c>
      <c r="AN70" s="56">
        <f>'Ship Data Metric'!E71*0.03280839895</f>
        <v>0</v>
      </c>
    </row>
    <row r="71" ht="15.75" customHeight="1">
      <c r="A71" s="51"/>
      <c r="B71" s="195" t="s">
        <v>276</v>
      </c>
      <c r="C71" s="119">
        <f>C70/2</f>
        <v>1.473375984</v>
      </c>
      <c r="D71" s="120">
        <f t="shared" si="10"/>
        <v>0.4689890452</v>
      </c>
      <c r="E71" s="249">
        <f t="shared" si="11"/>
        <v>37.42375</v>
      </c>
      <c r="F71" s="244">
        <f t="shared" si="12"/>
        <v>11.91232175</v>
      </c>
      <c r="G71" s="123">
        <f>C71/Introduction!$I$20</f>
        <v>0.0153476665</v>
      </c>
      <c r="H71" s="141">
        <f t="shared" si="13"/>
        <v>0.004885302554</v>
      </c>
      <c r="I71" s="124">
        <f>E71/Introduction!$I$20</f>
        <v>0.3898307292</v>
      </c>
      <c r="J71" s="247">
        <f t="shared" si="14"/>
        <v>0.1240866849</v>
      </c>
      <c r="K71" s="51"/>
      <c r="L71" s="51"/>
      <c r="M71" s="51"/>
      <c r="N71" s="51"/>
      <c r="O71" s="51"/>
      <c r="P71" s="51"/>
      <c r="Q71" s="51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75" t="s">
        <v>47</v>
      </c>
      <c r="AC71" s="158" t="s">
        <v>24</v>
      </c>
      <c r="AD71" s="56">
        <f>IF('Ship Data Imperial'!E72&gt;0,'Ship Data Imperial'!E72,Standing!AN71)</f>
        <v>0</v>
      </c>
      <c r="AE71" s="230">
        <f t="shared" si="23"/>
        <v>0</v>
      </c>
      <c r="AF71" s="47">
        <f t="shared" si="2"/>
        <v>0</v>
      </c>
      <c r="AG71" s="231">
        <f t="shared" si="3"/>
        <v>0</v>
      </c>
      <c r="AH71" s="232">
        <f t="shared" si="24"/>
        <v>0</v>
      </c>
      <c r="AI71" s="230">
        <f t="shared" si="5"/>
        <v>0</v>
      </c>
      <c r="AJ71" s="233">
        <f t="shared" si="6"/>
        <v>0</v>
      </c>
      <c r="AK71" s="234">
        <f t="shared" si="33"/>
        <v>0</v>
      </c>
      <c r="AL71" s="228">
        <f t="shared" ref="AL71:AL74" si="39">IF(AD71&gt;0,$C$49*0.8,0)</f>
        <v>0</v>
      </c>
      <c r="AM71" s="229">
        <f t="shared" ref="AM71:AM75" si="40">IF(AD71&gt;0,3.25,0)</f>
        <v>0</v>
      </c>
      <c r="AN71" s="56">
        <f>'Ship Data Metric'!E72*0.03280839895</f>
        <v>0</v>
      </c>
    </row>
    <row r="72" ht="15.75" customHeight="1">
      <c r="A72" s="51"/>
      <c r="B72" s="195" t="s">
        <v>277</v>
      </c>
      <c r="C72" s="119">
        <f>$C$75*0.2</f>
        <v>1.309667542</v>
      </c>
      <c r="D72" s="120">
        <f t="shared" si="10"/>
        <v>0.4168791512</v>
      </c>
      <c r="E72" s="249">
        <f t="shared" si="11"/>
        <v>33.26555556</v>
      </c>
      <c r="F72" s="244">
        <f t="shared" si="12"/>
        <v>10.58873044</v>
      </c>
      <c r="G72" s="123">
        <f>C72/Introduction!$I$20</f>
        <v>0.01364237022</v>
      </c>
      <c r="H72" s="141">
        <f t="shared" si="13"/>
        <v>0.004342491159</v>
      </c>
      <c r="I72" s="124">
        <f>E72/Introduction!$I$20</f>
        <v>0.3465162037</v>
      </c>
      <c r="J72" s="247">
        <f t="shared" si="14"/>
        <v>0.1102992754</v>
      </c>
      <c r="K72" s="51"/>
      <c r="L72" s="51"/>
      <c r="M72" s="51"/>
      <c r="N72" s="51"/>
      <c r="O72" s="51"/>
      <c r="P72" s="51"/>
      <c r="Q72" s="51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75"/>
      <c r="AC72" s="158" t="s">
        <v>25</v>
      </c>
      <c r="AD72" s="56">
        <f>IF('Ship Data Imperial'!E73&gt;0,'Ship Data Imperial'!E73,Standing!AN72)</f>
        <v>0</v>
      </c>
      <c r="AE72" s="230">
        <f t="shared" si="23"/>
        <v>0</v>
      </c>
      <c r="AF72" s="47">
        <f t="shared" si="2"/>
        <v>0</v>
      </c>
      <c r="AG72" s="231">
        <f t="shared" si="3"/>
        <v>0</v>
      </c>
      <c r="AH72" s="232">
        <f t="shared" si="24"/>
        <v>0</v>
      </c>
      <c r="AI72" s="230">
        <f t="shared" si="5"/>
        <v>0</v>
      </c>
      <c r="AJ72" s="233">
        <f t="shared" si="6"/>
        <v>0</v>
      </c>
      <c r="AK72" s="234">
        <f t="shared" si="33"/>
        <v>0</v>
      </c>
      <c r="AL72" s="228">
        <f t="shared" si="39"/>
        <v>0</v>
      </c>
      <c r="AM72" s="229">
        <f t="shared" si="40"/>
        <v>0</v>
      </c>
      <c r="AN72" s="56">
        <f>'Ship Data Metric'!E73*0.03280839895</f>
        <v>0</v>
      </c>
    </row>
    <row r="73" ht="15.75" customHeight="1">
      <c r="A73" s="51"/>
      <c r="B73" s="195" t="s">
        <v>278</v>
      </c>
      <c r="C73" s="119">
        <v>1.5</v>
      </c>
      <c r="D73" s="120">
        <f t="shared" si="10"/>
        <v>0.4774637128</v>
      </c>
      <c r="E73" s="249">
        <f t="shared" si="11"/>
        <v>38.1</v>
      </c>
      <c r="F73" s="244">
        <f t="shared" si="12"/>
        <v>12.1275783</v>
      </c>
      <c r="G73" s="123">
        <f>C73/Introduction!$I$20</f>
        <v>0.015625</v>
      </c>
      <c r="H73" s="141">
        <f t="shared" si="13"/>
        <v>0.004973580341</v>
      </c>
      <c r="I73" s="124">
        <f>E73/Introduction!$I$20</f>
        <v>0.396875</v>
      </c>
      <c r="J73" s="247">
        <f t="shared" si="14"/>
        <v>0.1263289407</v>
      </c>
      <c r="K73" s="51"/>
      <c r="L73" s="51"/>
      <c r="M73" s="51"/>
      <c r="N73" s="51"/>
      <c r="O73" s="51"/>
      <c r="P73" s="51"/>
      <c r="Q73" s="51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75"/>
      <c r="AC73" s="158" t="s">
        <v>40</v>
      </c>
      <c r="AD73" s="56">
        <f>IF('Ship Data Imperial'!E74&gt;0,'Ship Data Imperial'!E74,Standing!AN73)</f>
        <v>0</v>
      </c>
      <c r="AE73" s="230">
        <f t="shared" si="23"/>
        <v>0</v>
      </c>
      <c r="AF73" s="47">
        <f t="shared" si="2"/>
        <v>0</v>
      </c>
      <c r="AG73" s="231">
        <f t="shared" si="3"/>
        <v>0</v>
      </c>
      <c r="AH73" s="232">
        <f t="shared" si="24"/>
        <v>0</v>
      </c>
      <c r="AI73" s="230">
        <f t="shared" si="5"/>
        <v>0</v>
      </c>
      <c r="AJ73" s="233">
        <f t="shared" si="6"/>
        <v>0</v>
      </c>
      <c r="AK73" s="234">
        <f t="shared" si="33"/>
        <v>0</v>
      </c>
      <c r="AL73" s="228">
        <f t="shared" si="39"/>
        <v>0</v>
      </c>
      <c r="AM73" s="229">
        <f t="shared" si="40"/>
        <v>0</v>
      </c>
      <c r="AN73" s="56">
        <f>'Ship Data Metric'!E74*0.03280839895</f>
        <v>0</v>
      </c>
    </row>
    <row r="74" ht="15.75" customHeight="1">
      <c r="A74" s="51"/>
      <c r="B74" s="257" t="s">
        <v>279</v>
      </c>
      <c r="C74" s="258">
        <v>1.5</v>
      </c>
      <c r="D74" s="128">
        <f t="shared" si="10"/>
        <v>0.4774637128</v>
      </c>
      <c r="E74" s="129">
        <f t="shared" si="11"/>
        <v>38.1</v>
      </c>
      <c r="F74" s="130">
        <f t="shared" si="12"/>
        <v>12.1275783</v>
      </c>
      <c r="G74" s="131">
        <f>C74/Introduction!$I$20</f>
        <v>0.015625</v>
      </c>
      <c r="H74" s="187">
        <f t="shared" si="13"/>
        <v>0.004973580341</v>
      </c>
      <c r="I74" s="133">
        <f>E74/Introduction!$I$20</f>
        <v>0.396875</v>
      </c>
      <c r="J74" s="135">
        <f t="shared" si="14"/>
        <v>0.1263289407</v>
      </c>
      <c r="K74" s="51"/>
      <c r="L74" s="51"/>
      <c r="M74" s="51"/>
      <c r="N74" s="51"/>
      <c r="O74" s="51"/>
      <c r="P74" s="51"/>
      <c r="Q74" s="51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75"/>
      <c r="AC74" s="158" t="s">
        <v>41</v>
      </c>
      <c r="AD74" s="56">
        <f>IF('Ship Data Imperial'!E75&gt;0,'Ship Data Imperial'!E75,Standing!AN74)</f>
        <v>0</v>
      </c>
      <c r="AE74" s="230">
        <f t="shared" si="23"/>
        <v>0</v>
      </c>
      <c r="AF74" s="47">
        <f t="shared" si="2"/>
        <v>0</v>
      </c>
      <c r="AG74" s="231">
        <f t="shared" si="3"/>
        <v>0</v>
      </c>
      <c r="AH74" s="232">
        <f t="shared" si="24"/>
        <v>0</v>
      </c>
      <c r="AI74" s="230">
        <f t="shared" si="5"/>
        <v>0</v>
      </c>
      <c r="AJ74" s="233">
        <f t="shared" si="6"/>
        <v>0</v>
      </c>
      <c r="AK74" s="234">
        <f t="shared" si="33"/>
        <v>0</v>
      </c>
      <c r="AL74" s="228">
        <f t="shared" si="39"/>
        <v>0</v>
      </c>
      <c r="AM74" s="229">
        <f t="shared" si="40"/>
        <v>0</v>
      </c>
      <c r="AN74" s="56">
        <f>'Ship Data Metric'!E75*0.03280839895</f>
        <v>0</v>
      </c>
    </row>
    <row r="75" ht="15.75" customHeight="1">
      <c r="A75" s="51"/>
      <c r="B75" s="194" t="s">
        <v>280</v>
      </c>
      <c r="C75" s="179">
        <f>Masts!D13/2</f>
        <v>6.548337708</v>
      </c>
      <c r="D75" s="110">
        <f t="shared" si="10"/>
        <v>2.084395756</v>
      </c>
      <c r="E75" s="111">
        <f t="shared" si="11"/>
        <v>166.3277778</v>
      </c>
      <c r="F75" s="112">
        <f t="shared" si="12"/>
        <v>52.94365221</v>
      </c>
      <c r="G75" s="113">
        <f>C75/Introduction!$I$20</f>
        <v>0.06821185112</v>
      </c>
      <c r="H75" s="137">
        <f t="shared" si="13"/>
        <v>0.02171245579</v>
      </c>
      <c r="I75" s="115">
        <f>E75/Introduction!$I$20</f>
        <v>1.732581019</v>
      </c>
      <c r="J75" s="142">
        <f t="shared" si="14"/>
        <v>0.5514963772</v>
      </c>
      <c r="K75" s="51"/>
      <c r="L75" s="51"/>
      <c r="M75" s="51"/>
      <c r="N75" s="51"/>
      <c r="O75" s="51"/>
      <c r="P75" s="51"/>
      <c r="Q75" s="51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75"/>
      <c r="AC75" s="158" t="s">
        <v>42</v>
      </c>
      <c r="AD75" s="56">
        <f>IF('Ship Data Imperial'!E76&gt;0,'Ship Data Imperial'!E76,Standing!AN75)</f>
        <v>0</v>
      </c>
      <c r="AE75" s="230">
        <f t="shared" si="23"/>
        <v>0</v>
      </c>
      <c r="AF75" s="47">
        <f t="shared" si="2"/>
        <v>0</v>
      </c>
      <c r="AG75" s="231">
        <f t="shared" si="3"/>
        <v>0</v>
      </c>
      <c r="AH75" s="232">
        <f t="shared" si="24"/>
        <v>0</v>
      </c>
      <c r="AI75" s="230">
        <f t="shared" si="5"/>
        <v>0</v>
      </c>
      <c r="AJ75" s="233">
        <f t="shared" si="6"/>
        <v>0</v>
      </c>
      <c r="AK75" s="234">
        <f t="shared" si="33"/>
        <v>0</v>
      </c>
      <c r="AL75" s="228">
        <f t="shared" ref="AL75:AL78" si="41">IF(AD75&gt;0,$C$49*0.75,0)</f>
        <v>0</v>
      </c>
      <c r="AM75" s="229">
        <f t="shared" si="40"/>
        <v>0</v>
      </c>
      <c r="AN75" s="56">
        <f>'Ship Data Metric'!E76*0.03280839895</f>
        <v>0</v>
      </c>
    </row>
    <row r="76" ht="15.75" customHeight="1">
      <c r="A76" s="51"/>
      <c r="B76" s="195" t="s">
        <v>281</v>
      </c>
      <c r="C76" s="189">
        <f>AE136</f>
        <v>4.71480315</v>
      </c>
      <c r="D76" s="120">
        <f t="shared" si="10"/>
        <v>1.500764944</v>
      </c>
      <c r="E76" s="249">
        <f t="shared" si="11"/>
        <v>119.756</v>
      </c>
      <c r="F76" s="244">
        <f t="shared" si="12"/>
        <v>38.11942959</v>
      </c>
      <c r="G76" s="123">
        <f>C76/Introduction!$I$20</f>
        <v>0.04911253281</v>
      </c>
      <c r="H76" s="141">
        <f t="shared" si="13"/>
        <v>0.01563296817</v>
      </c>
      <c r="I76" s="124">
        <f>E76/Introduction!$I$20</f>
        <v>1.247458333</v>
      </c>
      <c r="J76" s="247">
        <f t="shared" si="14"/>
        <v>0.3970773916</v>
      </c>
      <c r="K76" s="51"/>
      <c r="L76" s="51"/>
      <c r="M76" s="51"/>
      <c r="N76" s="51"/>
      <c r="O76" s="51"/>
      <c r="P76" s="51"/>
      <c r="Q76" s="51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75"/>
      <c r="AC76" s="158" t="s">
        <v>43</v>
      </c>
      <c r="AD76" s="56">
        <f>IF('Ship Data Imperial'!E77&gt;0,'Ship Data Imperial'!E77,Standing!AN76)</f>
        <v>0</v>
      </c>
      <c r="AE76" s="230">
        <f t="shared" si="23"/>
        <v>0</v>
      </c>
      <c r="AF76" s="47">
        <f t="shared" si="2"/>
        <v>0</v>
      </c>
      <c r="AG76" s="231">
        <f t="shared" si="3"/>
        <v>0</v>
      </c>
      <c r="AH76" s="232">
        <f t="shared" si="24"/>
        <v>0</v>
      </c>
      <c r="AI76" s="230">
        <f t="shared" si="5"/>
        <v>0</v>
      </c>
      <c r="AJ76" s="233">
        <f t="shared" si="6"/>
        <v>0</v>
      </c>
      <c r="AK76" s="234">
        <f t="shared" si="33"/>
        <v>0</v>
      </c>
      <c r="AL76" s="228">
        <f t="shared" si="41"/>
        <v>0</v>
      </c>
      <c r="AM76" s="229">
        <f t="shared" ref="AM76:AM79" si="42">IF(AD76&gt;0,3,0)</f>
        <v>0</v>
      </c>
      <c r="AN76" s="56">
        <f>'Ship Data Metric'!E77*0.03280839895</f>
        <v>0</v>
      </c>
    </row>
    <row r="77" ht="15.75" customHeight="1">
      <c r="A77" s="51"/>
      <c r="B77" s="195" t="s">
        <v>282</v>
      </c>
      <c r="C77" s="189">
        <f>AG136</f>
        <v>4.583836395</v>
      </c>
      <c r="D77" s="120">
        <f t="shared" si="10"/>
        <v>1.459077029</v>
      </c>
      <c r="E77" s="249">
        <f t="shared" si="11"/>
        <v>116.4294444</v>
      </c>
      <c r="F77" s="244">
        <f t="shared" si="12"/>
        <v>37.06055655</v>
      </c>
      <c r="G77" s="123">
        <f>C77/Introduction!$I$20</f>
        <v>0.04774829579</v>
      </c>
      <c r="H77" s="141">
        <f t="shared" si="13"/>
        <v>0.01519871906</v>
      </c>
      <c r="I77" s="124">
        <f>E77/Introduction!$I$20</f>
        <v>1.212806713</v>
      </c>
      <c r="J77" s="247">
        <f t="shared" si="14"/>
        <v>0.386047464</v>
      </c>
      <c r="K77" s="51"/>
      <c r="L77" s="51"/>
      <c r="M77" s="51"/>
      <c r="N77" s="51"/>
      <c r="O77" s="51"/>
      <c r="P77" s="51"/>
      <c r="Q77" s="51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75"/>
      <c r="AC77" s="158" t="s">
        <v>44</v>
      </c>
      <c r="AD77" s="56">
        <f>IF('Ship Data Imperial'!E78&gt;0,'Ship Data Imperial'!E78,Standing!AN77)</f>
        <v>0</v>
      </c>
      <c r="AE77" s="230">
        <f t="shared" si="23"/>
        <v>0</v>
      </c>
      <c r="AF77" s="47">
        <f t="shared" si="2"/>
        <v>0</v>
      </c>
      <c r="AG77" s="231">
        <f t="shared" si="3"/>
        <v>0</v>
      </c>
      <c r="AH77" s="232">
        <f t="shared" si="24"/>
        <v>0</v>
      </c>
      <c r="AI77" s="230">
        <f t="shared" si="5"/>
        <v>0</v>
      </c>
      <c r="AJ77" s="233">
        <f t="shared" si="6"/>
        <v>0</v>
      </c>
      <c r="AK77" s="234">
        <f t="shared" si="33"/>
        <v>0</v>
      </c>
      <c r="AL77" s="228">
        <f t="shared" si="41"/>
        <v>0</v>
      </c>
      <c r="AM77" s="229">
        <f t="shared" si="42"/>
        <v>0</v>
      </c>
      <c r="AN77" s="56">
        <f>'Ship Data Metric'!E78*0.03280839895</f>
        <v>0</v>
      </c>
    </row>
    <row r="78" ht="15.75" customHeight="1">
      <c r="A78" s="51"/>
      <c r="B78" s="195" t="s">
        <v>283</v>
      </c>
      <c r="C78" s="189">
        <f>AH136</f>
        <v>3.300362205</v>
      </c>
      <c r="D78" s="120">
        <f t="shared" si="10"/>
        <v>1.050535461</v>
      </c>
      <c r="E78" s="249">
        <f t="shared" si="11"/>
        <v>83.8292</v>
      </c>
      <c r="F78" s="244">
        <f t="shared" si="12"/>
        <v>26.68360071</v>
      </c>
      <c r="G78" s="123">
        <f>C78/Introduction!$I$20</f>
        <v>0.03437877297</v>
      </c>
      <c r="H78" s="141">
        <f t="shared" si="13"/>
        <v>0.01094307772</v>
      </c>
      <c r="I78" s="124">
        <f>E78/Introduction!$I$20</f>
        <v>0.8732208333</v>
      </c>
      <c r="J78" s="247">
        <f t="shared" si="14"/>
        <v>0.2779541741</v>
      </c>
      <c r="K78" s="51"/>
      <c r="L78" s="51"/>
      <c r="M78" s="51"/>
      <c r="N78" s="51"/>
      <c r="O78" s="51"/>
      <c r="P78" s="51"/>
      <c r="Q78" s="51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75"/>
      <c r="AC78" s="158" t="s">
        <v>45</v>
      </c>
      <c r="AD78" s="56">
        <f>IF('Ship Data Imperial'!E79&gt;0,'Ship Data Imperial'!E79,Standing!AN78)</f>
        <v>0</v>
      </c>
      <c r="AE78" s="230">
        <f t="shared" si="23"/>
        <v>0</v>
      </c>
      <c r="AF78" s="47">
        <f t="shared" si="2"/>
        <v>0</v>
      </c>
      <c r="AG78" s="231">
        <f t="shared" si="3"/>
        <v>0</v>
      </c>
      <c r="AH78" s="232">
        <f t="shared" si="24"/>
        <v>0</v>
      </c>
      <c r="AI78" s="230">
        <f t="shared" si="5"/>
        <v>0</v>
      </c>
      <c r="AJ78" s="233">
        <f t="shared" si="6"/>
        <v>0</v>
      </c>
      <c r="AK78" s="234">
        <f t="shared" si="33"/>
        <v>0</v>
      </c>
      <c r="AL78" s="228">
        <f t="shared" si="41"/>
        <v>0</v>
      </c>
      <c r="AM78" s="229">
        <f t="shared" si="42"/>
        <v>0</v>
      </c>
      <c r="AN78" s="56">
        <f>'Ship Data Metric'!E79*0.03280839895</f>
        <v>0</v>
      </c>
    </row>
    <row r="79" ht="15.75" customHeight="1">
      <c r="A79" s="51"/>
      <c r="B79" s="195" t="s">
        <v>284</v>
      </c>
      <c r="C79" s="189">
        <f>C98*0.75</f>
        <v>1.944856299</v>
      </c>
      <c r="D79" s="120">
        <f t="shared" si="10"/>
        <v>0.6190655396</v>
      </c>
      <c r="E79" s="249">
        <f t="shared" si="11"/>
        <v>49.39935</v>
      </c>
      <c r="F79" s="244">
        <f t="shared" si="12"/>
        <v>15.72426471</v>
      </c>
      <c r="G79" s="123">
        <f>C79/Introduction!$I$20</f>
        <v>0.02025891978</v>
      </c>
      <c r="H79" s="141">
        <f t="shared" si="13"/>
        <v>0.006448599371</v>
      </c>
      <c r="I79" s="124">
        <f>E79/Introduction!$I$20</f>
        <v>0.5145765625</v>
      </c>
      <c r="J79" s="247">
        <f t="shared" si="14"/>
        <v>0.163794424</v>
      </c>
      <c r="K79" s="51"/>
      <c r="L79" s="51"/>
      <c r="M79" s="51"/>
      <c r="N79" s="51"/>
      <c r="O79" s="51"/>
      <c r="P79" s="51"/>
      <c r="Q79" s="51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75"/>
      <c r="AC79" s="158" t="s">
        <v>46</v>
      </c>
      <c r="AD79" s="56">
        <f>IF('Ship Data Imperial'!E80&gt;0,'Ship Data Imperial'!E80,Standing!AN79)</f>
        <v>0</v>
      </c>
      <c r="AE79" s="230">
        <f t="shared" si="23"/>
        <v>0</v>
      </c>
      <c r="AF79" s="47">
        <f t="shared" si="2"/>
        <v>0</v>
      </c>
      <c r="AG79" s="231">
        <f t="shared" si="3"/>
        <v>0</v>
      </c>
      <c r="AH79" s="232">
        <f t="shared" si="24"/>
        <v>0</v>
      </c>
      <c r="AI79" s="230">
        <f t="shared" si="5"/>
        <v>0</v>
      </c>
      <c r="AJ79" s="233">
        <f t="shared" si="6"/>
        <v>0</v>
      </c>
      <c r="AK79" s="234">
        <f t="shared" si="33"/>
        <v>0</v>
      </c>
      <c r="AL79" s="228">
        <f>IF(AD79&gt;0,$C$49*0.66,0)</f>
        <v>0</v>
      </c>
      <c r="AM79" s="229">
        <f t="shared" si="42"/>
        <v>0</v>
      </c>
      <c r="AN79" s="56">
        <f>'Ship Data Metric'!E80*0.03280839895</f>
        <v>0</v>
      </c>
    </row>
    <row r="80" ht="15.75" customHeight="1">
      <c r="A80" s="51"/>
      <c r="B80" s="195" t="s">
        <v>285</v>
      </c>
      <c r="C80" s="189">
        <f>IF(C98/3&gt;1.5,C98/3,1.5)</f>
        <v>1.5</v>
      </c>
      <c r="D80" s="120">
        <f t="shared" si="10"/>
        <v>0.4774637128</v>
      </c>
      <c r="E80" s="249">
        <f t="shared" si="11"/>
        <v>38.1</v>
      </c>
      <c r="F80" s="244">
        <f t="shared" si="12"/>
        <v>12.1275783</v>
      </c>
      <c r="G80" s="123">
        <f>C80/Introduction!$I$20</f>
        <v>0.015625</v>
      </c>
      <c r="H80" s="141">
        <f t="shared" si="13"/>
        <v>0.004973580341</v>
      </c>
      <c r="I80" s="124">
        <f>E80/Introduction!$I$20</f>
        <v>0.396875</v>
      </c>
      <c r="J80" s="247">
        <f t="shared" si="14"/>
        <v>0.1263289407</v>
      </c>
      <c r="K80" s="51"/>
      <c r="L80" s="51"/>
      <c r="M80" s="51"/>
      <c r="N80" s="51"/>
      <c r="O80" s="51"/>
      <c r="P80" s="51"/>
      <c r="Q80" s="51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75" t="s">
        <v>48</v>
      </c>
      <c r="AC80" s="76" t="s">
        <v>24</v>
      </c>
      <c r="AD80" s="56">
        <f>IF('Ship Data Imperial'!E81&gt;0,'Ship Data Imperial'!E81,Standing!AN80)</f>
        <v>0</v>
      </c>
      <c r="AE80" s="230">
        <f t="shared" si="23"/>
        <v>0</v>
      </c>
      <c r="AF80" s="47">
        <f t="shared" si="2"/>
        <v>0</v>
      </c>
      <c r="AG80" s="231">
        <f t="shared" si="3"/>
        <v>0</v>
      </c>
      <c r="AH80" s="232">
        <f t="shared" si="24"/>
        <v>0</v>
      </c>
      <c r="AI80" s="230">
        <f t="shared" si="5"/>
        <v>0</v>
      </c>
      <c r="AJ80" s="233">
        <f t="shared" si="6"/>
        <v>0</v>
      </c>
      <c r="AK80" s="234">
        <f t="shared" si="33"/>
        <v>0</v>
      </c>
      <c r="AL80" s="228">
        <f t="shared" ref="AL80:AL82" si="43">IF(AD80&gt;0,$C$49*0.8,0)</f>
        <v>0</v>
      </c>
      <c r="AM80" s="229">
        <f t="shared" ref="AM80:AM82" si="44">IF(AD80&gt;0,3.25,0)</f>
        <v>0</v>
      </c>
      <c r="AN80" s="56">
        <f>'Ship Data Metric'!E81*0.03280839895</f>
        <v>0</v>
      </c>
    </row>
    <row r="81" ht="15.75" customHeight="1">
      <c r="A81" s="51"/>
      <c r="B81" s="195" t="s">
        <v>286</v>
      </c>
      <c r="C81" s="189">
        <f>C75/2</f>
        <v>3.274168854</v>
      </c>
      <c r="D81" s="120">
        <f t="shared" si="10"/>
        <v>1.042197878</v>
      </c>
      <c r="E81" s="249">
        <f t="shared" si="11"/>
        <v>83.16388889</v>
      </c>
      <c r="F81" s="244">
        <f t="shared" si="12"/>
        <v>26.4718261</v>
      </c>
      <c r="G81" s="123">
        <f>C81/Introduction!$I$20</f>
        <v>0.03410592556</v>
      </c>
      <c r="H81" s="141">
        <f t="shared" si="13"/>
        <v>0.0108562279</v>
      </c>
      <c r="I81" s="124">
        <f>E81/Introduction!$I$20</f>
        <v>0.8662905093</v>
      </c>
      <c r="J81" s="247">
        <f t="shared" si="14"/>
        <v>0.2757481886</v>
      </c>
      <c r="K81" s="51"/>
      <c r="L81" s="51"/>
      <c r="M81" s="51"/>
      <c r="N81" s="51"/>
      <c r="O81" s="51"/>
      <c r="P81" s="51"/>
      <c r="Q81" s="51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75"/>
      <c r="AC81" s="76" t="s">
        <v>25</v>
      </c>
      <c r="AD81" s="56">
        <f>IF('Ship Data Imperial'!E82&gt;0,'Ship Data Imperial'!E82,Standing!AN81)</f>
        <v>0</v>
      </c>
      <c r="AE81" s="230">
        <f t="shared" si="23"/>
        <v>0</v>
      </c>
      <c r="AF81" s="47">
        <f t="shared" si="2"/>
        <v>0</v>
      </c>
      <c r="AG81" s="231">
        <f t="shared" si="3"/>
        <v>0</v>
      </c>
      <c r="AH81" s="232">
        <f t="shared" si="24"/>
        <v>0</v>
      </c>
      <c r="AI81" s="230">
        <f t="shared" si="5"/>
        <v>0</v>
      </c>
      <c r="AJ81" s="233">
        <f t="shared" si="6"/>
        <v>0</v>
      </c>
      <c r="AK81" s="234">
        <f t="shared" si="33"/>
        <v>0</v>
      </c>
      <c r="AL81" s="228">
        <f t="shared" si="43"/>
        <v>0</v>
      </c>
      <c r="AM81" s="229">
        <f t="shared" si="44"/>
        <v>0</v>
      </c>
      <c r="AN81" s="56">
        <f>'Ship Data Metric'!E82*0.03280839895</f>
        <v>0</v>
      </c>
    </row>
    <row r="82" ht="15.75" customHeight="1">
      <c r="A82" s="51"/>
      <c r="B82" s="195" t="s">
        <v>287</v>
      </c>
      <c r="C82" s="189">
        <f>C81*0.75</f>
        <v>2.45562664</v>
      </c>
      <c r="D82" s="120">
        <f t="shared" si="10"/>
        <v>0.7816484086</v>
      </c>
      <c r="E82" s="249">
        <f t="shared" si="11"/>
        <v>62.37291667</v>
      </c>
      <c r="F82" s="244">
        <f t="shared" si="12"/>
        <v>19.85386958</v>
      </c>
      <c r="G82" s="123">
        <f>C82/Introduction!$I$20</f>
        <v>0.02557944417</v>
      </c>
      <c r="H82" s="141">
        <f t="shared" si="13"/>
        <v>0.008142170923</v>
      </c>
      <c r="I82" s="124">
        <f>E82/Introduction!$I$20</f>
        <v>0.6497178819</v>
      </c>
      <c r="J82" s="247">
        <f t="shared" si="14"/>
        <v>0.2068111414</v>
      </c>
      <c r="K82" s="51"/>
      <c r="L82" s="51"/>
      <c r="M82" s="51"/>
      <c r="N82" s="51"/>
      <c r="O82" s="51"/>
      <c r="P82" s="51"/>
      <c r="Q82" s="51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75"/>
      <c r="AC82" s="76" t="s">
        <v>26</v>
      </c>
      <c r="AD82" s="56">
        <f>IF('Ship Data Imperial'!E83&gt;0,'Ship Data Imperial'!E83,Standing!AN82)</f>
        <v>0</v>
      </c>
      <c r="AE82" s="230">
        <f t="shared" si="23"/>
        <v>0</v>
      </c>
      <c r="AF82" s="47">
        <f t="shared" si="2"/>
        <v>0</v>
      </c>
      <c r="AG82" s="231">
        <f t="shared" si="3"/>
        <v>0</v>
      </c>
      <c r="AH82" s="232">
        <f t="shared" si="24"/>
        <v>0</v>
      </c>
      <c r="AI82" s="230">
        <f t="shared" si="5"/>
        <v>0</v>
      </c>
      <c r="AJ82" s="233">
        <f t="shared" si="6"/>
        <v>0</v>
      </c>
      <c r="AK82" s="234">
        <f t="shared" si="33"/>
        <v>0</v>
      </c>
      <c r="AL82" s="228">
        <f t="shared" si="43"/>
        <v>0</v>
      </c>
      <c r="AM82" s="229">
        <f t="shared" si="44"/>
        <v>0</v>
      </c>
      <c r="AN82" s="56">
        <f>'Ship Data Metric'!E83*0.03280839895</f>
        <v>0</v>
      </c>
    </row>
    <row r="83" ht="15.75" customHeight="1">
      <c r="A83" s="51"/>
      <c r="B83" s="195" t="s">
        <v>288</v>
      </c>
      <c r="C83" s="189">
        <f>C81*0.75</f>
        <v>2.45562664</v>
      </c>
      <c r="D83" s="120">
        <f t="shared" si="10"/>
        <v>0.7816484086</v>
      </c>
      <c r="E83" s="249">
        <f t="shared" si="11"/>
        <v>62.37291667</v>
      </c>
      <c r="F83" s="244">
        <f t="shared" si="12"/>
        <v>19.85386958</v>
      </c>
      <c r="G83" s="123">
        <f>C83/Introduction!$I$20</f>
        <v>0.02557944417</v>
      </c>
      <c r="H83" s="141">
        <f t="shared" si="13"/>
        <v>0.008142170923</v>
      </c>
      <c r="I83" s="124">
        <f>E83/Introduction!$I$20</f>
        <v>0.6497178819</v>
      </c>
      <c r="J83" s="247">
        <f t="shared" si="14"/>
        <v>0.2068111414</v>
      </c>
      <c r="K83" s="51"/>
      <c r="L83" s="51"/>
      <c r="M83" s="51"/>
      <c r="N83" s="51"/>
      <c r="O83" s="51"/>
      <c r="P83" s="51"/>
      <c r="Q83" s="51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75"/>
      <c r="AC83" s="76" t="s">
        <v>27</v>
      </c>
      <c r="AD83" s="56">
        <f>IF('Ship Data Imperial'!E84&gt;0,'Ship Data Imperial'!E84,Standing!AN83)</f>
        <v>0</v>
      </c>
      <c r="AE83" s="230">
        <f t="shared" si="23"/>
        <v>0</v>
      </c>
      <c r="AF83" s="47">
        <f t="shared" si="2"/>
        <v>0</v>
      </c>
      <c r="AG83" s="231">
        <f t="shared" si="3"/>
        <v>0</v>
      </c>
      <c r="AH83" s="232">
        <f t="shared" si="24"/>
        <v>0</v>
      </c>
      <c r="AI83" s="230">
        <f t="shared" si="5"/>
        <v>0</v>
      </c>
      <c r="AJ83" s="233">
        <f t="shared" si="6"/>
        <v>0</v>
      </c>
      <c r="AK83" s="234">
        <f t="shared" si="33"/>
        <v>0</v>
      </c>
      <c r="AL83" s="228">
        <f>IF(AD83&gt;0,$C$49*0.75,0)</f>
        <v>0</v>
      </c>
      <c r="AM83" s="229">
        <f t="shared" ref="AM83:AM85" si="45">IF(AD83&gt;0,3,0)</f>
        <v>0</v>
      </c>
      <c r="AN83" s="56">
        <f>'Ship Data Metric'!E84*0.03280839895</f>
        <v>0</v>
      </c>
    </row>
    <row r="84" ht="15.75" customHeight="1">
      <c r="A84" s="51"/>
      <c r="B84" s="195" t="s">
        <v>289</v>
      </c>
      <c r="C84" s="189">
        <f>C83*0.75</f>
        <v>1.84171998</v>
      </c>
      <c r="D84" s="120">
        <f t="shared" si="10"/>
        <v>0.5862363064</v>
      </c>
      <c r="E84" s="249">
        <f t="shared" si="11"/>
        <v>46.7796875</v>
      </c>
      <c r="F84" s="244">
        <f t="shared" si="12"/>
        <v>14.89040218</v>
      </c>
      <c r="G84" s="123">
        <f>C84/Introduction!$I$20</f>
        <v>0.01918458313</v>
      </c>
      <c r="H84" s="141">
        <f t="shared" si="13"/>
        <v>0.006106628192</v>
      </c>
      <c r="I84" s="124">
        <f>E84/Introduction!$I$20</f>
        <v>0.4872884115</v>
      </c>
      <c r="J84" s="247">
        <f t="shared" si="14"/>
        <v>0.1551083561</v>
      </c>
      <c r="K84" s="51"/>
      <c r="L84" s="51"/>
      <c r="M84" s="51"/>
      <c r="N84" s="51"/>
      <c r="O84" s="51"/>
      <c r="P84" s="51"/>
      <c r="Q84" s="51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75"/>
      <c r="AC84" s="76" t="s">
        <v>28</v>
      </c>
      <c r="AD84" s="56">
        <f>IF('Ship Data Imperial'!E85&gt;0,'Ship Data Imperial'!E85,Standing!AN84)</f>
        <v>0</v>
      </c>
      <c r="AE84" s="230">
        <f t="shared" si="23"/>
        <v>0</v>
      </c>
      <c r="AF84" s="47">
        <f t="shared" si="2"/>
        <v>0</v>
      </c>
      <c r="AG84" s="231">
        <f t="shared" si="3"/>
        <v>0</v>
      </c>
      <c r="AH84" s="232">
        <f t="shared" si="24"/>
        <v>0</v>
      </c>
      <c r="AI84" s="230">
        <f t="shared" si="5"/>
        <v>0</v>
      </c>
      <c r="AJ84" s="233">
        <f t="shared" si="6"/>
        <v>0</v>
      </c>
      <c r="AK84" s="234">
        <f t="shared" si="33"/>
        <v>0</v>
      </c>
      <c r="AL84" s="228">
        <f t="shared" ref="AL84:AL85" si="46">IF(AD84&gt;0,$C$49*0.66,0)</f>
        <v>0</v>
      </c>
      <c r="AM84" s="229">
        <f t="shared" si="45"/>
        <v>0</v>
      </c>
      <c r="AN84" s="56">
        <f>'Ship Data Metric'!E85*0.03280839895</f>
        <v>0</v>
      </c>
    </row>
    <row r="85" ht="15.75" customHeight="1">
      <c r="A85" s="51"/>
      <c r="B85" s="195" t="s">
        <v>290</v>
      </c>
      <c r="C85" s="189">
        <f>IF(C81/2&gt;2,C81/2,2)</f>
        <v>2</v>
      </c>
      <c r="D85" s="120">
        <f t="shared" si="10"/>
        <v>0.6366182837</v>
      </c>
      <c r="E85" s="249">
        <f t="shared" si="11"/>
        <v>50.8</v>
      </c>
      <c r="F85" s="244">
        <f t="shared" si="12"/>
        <v>16.17010441</v>
      </c>
      <c r="G85" s="123">
        <f>C85/Introduction!$I$20</f>
        <v>0.02083333333</v>
      </c>
      <c r="H85" s="141">
        <f t="shared" si="13"/>
        <v>0.006631440455</v>
      </c>
      <c r="I85" s="124">
        <f>E85/Introduction!$I$20</f>
        <v>0.5291666667</v>
      </c>
      <c r="J85" s="247">
        <f t="shared" si="14"/>
        <v>0.1684385876</v>
      </c>
      <c r="K85" s="51"/>
      <c r="L85" s="51"/>
      <c r="M85" s="51"/>
      <c r="N85" s="51"/>
      <c r="O85" s="51"/>
      <c r="P85" s="51"/>
      <c r="Q85" s="51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75"/>
      <c r="AC85" s="76" t="s">
        <v>29</v>
      </c>
      <c r="AD85" s="56">
        <f>IF('Ship Data Imperial'!E86&gt;0,'Ship Data Imperial'!E86,Standing!AN85)</f>
        <v>0</v>
      </c>
      <c r="AE85" s="230">
        <f t="shared" si="23"/>
        <v>0</v>
      </c>
      <c r="AF85" s="47">
        <f t="shared" si="2"/>
        <v>0</v>
      </c>
      <c r="AG85" s="231">
        <f t="shared" si="3"/>
        <v>0</v>
      </c>
      <c r="AH85" s="232">
        <f t="shared" si="24"/>
        <v>0</v>
      </c>
      <c r="AI85" s="230">
        <f t="shared" si="5"/>
        <v>0</v>
      </c>
      <c r="AJ85" s="233">
        <f t="shared" si="6"/>
        <v>0</v>
      </c>
      <c r="AK85" s="234">
        <f t="shared" si="33"/>
        <v>0</v>
      </c>
      <c r="AL85" s="228">
        <f t="shared" si="46"/>
        <v>0</v>
      </c>
      <c r="AM85" s="229">
        <f t="shared" si="45"/>
        <v>0</v>
      </c>
      <c r="AN85" s="56">
        <f>'Ship Data Metric'!E86*0.03280839895</f>
        <v>0</v>
      </c>
    </row>
    <row r="86" ht="15.75" customHeight="1">
      <c r="A86" s="51"/>
      <c r="B86" s="195" t="s">
        <v>291</v>
      </c>
      <c r="C86" s="189">
        <f>IF(C85/2&gt;2,C85/2,2)</f>
        <v>2</v>
      </c>
      <c r="D86" s="120">
        <f t="shared" si="10"/>
        <v>0.6366182837</v>
      </c>
      <c r="E86" s="249">
        <f t="shared" si="11"/>
        <v>50.8</v>
      </c>
      <c r="F86" s="244">
        <f t="shared" si="12"/>
        <v>16.17010441</v>
      </c>
      <c r="G86" s="123">
        <f>C86/Introduction!$I$20</f>
        <v>0.02083333333</v>
      </c>
      <c r="H86" s="141">
        <f t="shared" si="13"/>
        <v>0.006631440455</v>
      </c>
      <c r="I86" s="124">
        <f>E86/Introduction!$I$20</f>
        <v>0.5291666667</v>
      </c>
      <c r="J86" s="247">
        <f t="shared" si="14"/>
        <v>0.1684385876</v>
      </c>
      <c r="K86" s="51"/>
      <c r="L86" s="51"/>
      <c r="M86" s="51"/>
      <c r="N86" s="51"/>
      <c r="O86" s="51"/>
      <c r="P86" s="51"/>
      <c r="Q86" s="51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75">
        <v>1773.0</v>
      </c>
      <c r="AC86" s="76" t="s">
        <v>24</v>
      </c>
      <c r="AD86" s="56">
        <f>IF('Ship Data Imperial'!E87&gt;0,'Ship Data Imperial'!E87,Standing!AN86)</f>
        <v>0</v>
      </c>
      <c r="AE86" s="230">
        <f t="shared" si="23"/>
        <v>0</v>
      </c>
      <c r="AF86" s="47">
        <f t="shared" si="2"/>
        <v>0</v>
      </c>
      <c r="AG86" s="231">
        <f t="shared" si="3"/>
        <v>0</v>
      </c>
      <c r="AH86" s="232">
        <f t="shared" si="24"/>
        <v>0</v>
      </c>
      <c r="AI86" s="230">
        <f t="shared" si="5"/>
        <v>0</v>
      </c>
      <c r="AJ86" s="233">
        <f t="shared" si="6"/>
        <v>0</v>
      </c>
      <c r="AK86" s="234">
        <f t="shared" si="33"/>
        <v>0</v>
      </c>
      <c r="AL86" s="228">
        <f>IF(AD86&gt;0,$C$49*0.8,0)</f>
        <v>0</v>
      </c>
      <c r="AM86" s="229">
        <f>IF(AD86&gt;0,3.25,0)</f>
        <v>0</v>
      </c>
      <c r="AN86" s="56">
        <f>'Ship Data Metric'!E87*0.03280839895</f>
        <v>0</v>
      </c>
    </row>
    <row r="87" ht="15.75" customHeight="1">
      <c r="A87" s="51"/>
      <c r="B87" s="195" t="s">
        <v>292</v>
      </c>
      <c r="C87" s="189">
        <f>C75*0.33</f>
        <v>2.160951444</v>
      </c>
      <c r="D87" s="120">
        <f t="shared" si="10"/>
        <v>0.6878505996</v>
      </c>
      <c r="E87" s="249">
        <f t="shared" si="11"/>
        <v>54.88816667</v>
      </c>
      <c r="F87" s="244">
        <f t="shared" si="12"/>
        <v>17.47140523</v>
      </c>
      <c r="G87" s="123">
        <f>C87/Introduction!$I$20</f>
        <v>0.02250991087</v>
      </c>
      <c r="H87" s="141">
        <f t="shared" si="13"/>
        <v>0.007165110412</v>
      </c>
      <c r="I87" s="124">
        <f>E87/Introduction!$I$20</f>
        <v>0.5717517361</v>
      </c>
      <c r="J87" s="247">
        <f t="shared" si="14"/>
        <v>0.1819938045</v>
      </c>
      <c r="K87" s="51"/>
      <c r="L87" s="51"/>
      <c r="M87" s="51"/>
      <c r="N87" s="51"/>
      <c r="O87" s="51"/>
      <c r="P87" s="51"/>
      <c r="Q87" s="51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75"/>
      <c r="AC87" s="76" t="s">
        <v>25</v>
      </c>
      <c r="AD87" s="56">
        <f>IF('Ship Data Imperial'!E88&gt;0,'Ship Data Imperial'!E88,Standing!AN87)</f>
        <v>0</v>
      </c>
      <c r="AE87" s="230">
        <f t="shared" si="23"/>
        <v>0</v>
      </c>
      <c r="AF87" s="47">
        <f t="shared" si="2"/>
        <v>0</v>
      </c>
      <c r="AG87" s="231">
        <f t="shared" si="3"/>
        <v>0</v>
      </c>
      <c r="AH87" s="232">
        <f t="shared" si="24"/>
        <v>0</v>
      </c>
      <c r="AI87" s="230">
        <f t="shared" si="5"/>
        <v>0</v>
      </c>
      <c r="AJ87" s="233">
        <f t="shared" si="6"/>
        <v>0</v>
      </c>
      <c r="AK87" s="234">
        <f t="shared" si="33"/>
        <v>0</v>
      </c>
      <c r="AL87" s="228">
        <f>IF(AD87&gt;0,$C$49*0.75,0)</f>
        <v>0</v>
      </c>
      <c r="AM87" s="229">
        <f t="shared" ref="AM87:AM91" si="47">IF(AD87&gt;0,3,0)</f>
        <v>0</v>
      </c>
      <c r="AN87" s="56">
        <f>'Ship Data Metric'!E88*0.03280839895</f>
        <v>0</v>
      </c>
    </row>
    <row r="88" ht="15.75" customHeight="1">
      <c r="A88" s="51"/>
      <c r="B88" s="195" t="s">
        <v>293</v>
      </c>
      <c r="C88" s="189">
        <f>C77*0.33</f>
        <v>1.51266601</v>
      </c>
      <c r="D88" s="120">
        <f t="shared" si="10"/>
        <v>0.4814954197</v>
      </c>
      <c r="E88" s="249">
        <f t="shared" si="11"/>
        <v>38.42171667</v>
      </c>
      <c r="F88" s="244">
        <f t="shared" si="12"/>
        <v>12.22998366</v>
      </c>
      <c r="G88" s="123">
        <f>C88/Introduction!$I$20</f>
        <v>0.01575693761</v>
      </c>
      <c r="H88" s="141">
        <f t="shared" si="13"/>
        <v>0.005015577288</v>
      </c>
      <c r="I88" s="124">
        <f>E88/Introduction!$I$20</f>
        <v>0.4002262153</v>
      </c>
      <c r="J88" s="247">
        <f t="shared" si="14"/>
        <v>0.1273956631</v>
      </c>
      <c r="K88" s="51"/>
      <c r="L88" s="51"/>
      <c r="M88" s="51"/>
      <c r="N88" s="51"/>
      <c r="O88" s="51"/>
      <c r="P88" s="51"/>
      <c r="Q88" s="51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75"/>
      <c r="AC88" s="76" t="s">
        <v>26</v>
      </c>
      <c r="AD88" s="56">
        <f>IF('Ship Data Imperial'!E89&gt;0,'Ship Data Imperial'!E89,Standing!AN88)</f>
        <v>0</v>
      </c>
      <c r="AE88" s="230">
        <f t="shared" si="23"/>
        <v>0</v>
      </c>
      <c r="AF88" s="47">
        <f t="shared" si="2"/>
        <v>0</v>
      </c>
      <c r="AG88" s="231">
        <f t="shared" si="3"/>
        <v>0</v>
      </c>
      <c r="AH88" s="232">
        <f t="shared" si="24"/>
        <v>0</v>
      </c>
      <c r="AI88" s="230">
        <f t="shared" si="5"/>
        <v>0</v>
      </c>
      <c r="AJ88" s="233">
        <f t="shared" si="6"/>
        <v>0</v>
      </c>
      <c r="AK88" s="234">
        <f t="shared" si="33"/>
        <v>0</v>
      </c>
      <c r="AL88" s="228">
        <f t="shared" ref="AL88:AL91" si="48">IF(AD88&gt;0,$C$49*0.66,0)</f>
        <v>0</v>
      </c>
      <c r="AM88" s="229">
        <f t="shared" si="47"/>
        <v>0</v>
      </c>
      <c r="AN88" s="56">
        <f>'Ship Data Metric'!E89*0.03280839895</f>
        <v>0</v>
      </c>
    </row>
    <row r="89" ht="15.75" customHeight="1">
      <c r="A89" s="51"/>
      <c r="B89" s="195" t="s">
        <v>294</v>
      </c>
      <c r="C89" s="189">
        <f>C81/2</f>
        <v>1.637084427</v>
      </c>
      <c r="D89" s="120">
        <f t="shared" si="10"/>
        <v>0.5210989391</v>
      </c>
      <c r="E89" s="249">
        <f t="shared" si="11"/>
        <v>41.58194444</v>
      </c>
      <c r="F89" s="244">
        <f t="shared" si="12"/>
        <v>13.23591305</v>
      </c>
      <c r="G89" s="123">
        <f>C89/Introduction!$I$20</f>
        <v>0.01705296278</v>
      </c>
      <c r="H89" s="141">
        <f t="shared" si="13"/>
        <v>0.005428113949</v>
      </c>
      <c r="I89" s="124">
        <f>E89/Introduction!$I$20</f>
        <v>0.4331452546</v>
      </c>
      <c r="J89" s="247">
        <f t="shared" si="14"/>
        <v>0.1378740943</v>
      </c>
      <c r="K89" s="51"/>
      <c r="L89" s="51"/>
      <c r="M89" s="51"/>
      <c r="N89" s="51"/>
      <c r="O89" s="51"/>
      <c r="P89" s="51"/>
      <c r="Q89" s="51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75"/>
      <c r="AC89" s="76" t="s">
        <v>27</v>
      </c>
      <c r="AD89" s="56">
        <f>IF('Ship Data Imperial'!E90&gt;0,'Ship Data Imperial'!E90,Standing!AN89)</f>
        <v>0</v>
      </c>
      <c r="AE89" s="230">
        <f t="shared" si="23"/>
        <v>0</v>
      </c>
      <c r="AF89" s="47">
        <f t="shared" si="2"/>
        <v>0</v>
      </c>
      <c r="AG89" s="231">
        <f t="shared" si="3"/>
        <v>0</v>
      </c>
      <c r="AH89" s="232">
        <f t="shared" si="24"/>
        <v>0</v>
      </c>
      <c r="AI89" s="230">
        <f t="shared" si="5"/>
        <v>0</v>
      </c>
      <c r="AJ89" s="233">
        <f t="shared" si="6"/>
        <v>0</v>
      </c>
      <c r="AK89" s="234">
        <f t="shared" si="33"/>
        <v>0</v>
      </c>
      <c r="AL89" s="228">
        <f t="shared" si="48"/>
        <v>0</v>
      </c>
      <c r="AM89" s="229">
        <f t="shared" si="47"/>
        <v>0</v>
      </c>
      <c r="AN89" s="56">
        <f>'Ship Data Metric'!E90*0.03280839895</f>
        <v>0</v>
      </c>
    </row>
    <row r="90" ht="15.75" customHeight="1">
      <c r="A90" s="51"/>
      <c r="B90" s="195" t="s">
        <v>295</v>
      </c>
      <c r="C90" s="189">
        <f>C83/2</f>
        <v>1.22781332</v>
      </c>
      <c r="D90" s="120">
        <f t="shared" si="10"/>
        <v>0.3908242043</v>
      </c>
      <c r="E90" s="249">
        <f t="shared" si="11"/>
        <v>31.18645833</v>
      </c>
      <c r="F90" s="244">
        <f t="shared" si="12"/>
        <v>9.926934789</v>
      </c>
      <c r="G90" s="123">
        <f>C90/Introduction!$I$20</f>
        <v>0.01278972209</v>
      </c>
      <c r="H90" s="141">
        <f t="shared" si="13"/>
        <v>0.004071085461</v>
      </c>
      <c r="I90" s="124">
        <f>E90/Introduction!$I$20</f>
        <v>0.324858941</v>
      </c>
      <c r="J90" s="247">
        <f t="shared" si="14"/>
        <v>0.1034055707</v>
      </c>
      <c r="K90" s="51"/>
      <c r="L90" s="51"/>
      <c r="M90" s="51"/>
      <c r="N90" s="51"/>
      <c r="O90" s="51"/>
      <c r="P90" s="51"/>
      <c r="Q90" s="51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75"/>
      <c r="AC90" s="76" t="s">
        <v>28</v>
      </c>
      <c r="AD90" s="56">
        <f>IF('Ship Data Imperial'!E91&gt;0,'Ship Data Imperial'!E91,Standing!AN90)</f>
        <v>0</v>
      </c>
      <c r="AE90" s="230">
        <f t="shared" si="23"/>
        <v>0</v>
      </c>
      <c r="AF90" s="47">
        <f t="shared" si="2"/>
        <v>0</v>
      </c>
      <c r="AG90" s="231">
        <f t="shared" si="3"/>
        <v>0</v>
      </c>
      <c r="AH90" s="232">
        <f t="shared" si="24"/>
        <v>0</v>
      </c>
      <c r="AI90" s="230">
        <f t="shared" si="5"/>
        <v>0</v>
      </c>
      <c r="AJ90" s="233">
        <f t="shared" si="6"/>
        <v>0</v>
      </c>
      <c r="AK90" s="234">
        <f t="shared" si="33"/>
        <v>0</v>
      </c>
      <c r="AL90" s="228">
        <f t="shared" si="48"/>
        <v>0</v>
      </c>
      <c r="AM90" s="229">
        <f t="shared" si="47"/>
        <v>0</v>
      </c>
      <c r="AN90" s="56">
        <f>'Ship Data Metric'!E91*0.03280839895</f>
        <v>0</v>
      </c>
    </row>
    <row r="91" ht="15.75" customHeight="1">
      <c r="A91" s="51"/>
      <c r="B91" s="195" t="s">
        <v>296</v>
      </c>
      <c r="C91" s="189">
        <f t="shared" ref="C91:C92" si="49">C85/2</f>
        <v>1</v>
      </c>
      <c r="D91" s="120">
        <f t="shared" si="10"/>
        <v>0.3183091418</v>
      </c>
      <c r="E91" s="249">
        <f t="shared" si="11"/>
        <v>25.4</v>
      </c>
      <c r="F91" s="244">
        <f t="shared" si="12"/>
        <v>8.085052203</v>
      </c>
      <c r="G91" s="123">
        <f>C91/Introduction!$I$20</f>
        <v>0.01041666667</v>
      </c>
      <c r="H91" s="141">
        <f t="shared" si="13"/>
        <v>0.003315720227</v>
      </c>
      <c r="I91" s="124">
        <f>E91/Introduction!$I$20</f>
        <v>0.2645833333</v>
      </c>
      <c r="J91" s="247">
        <f t="shared" si="14"/>
        <v>0.08421929378</v>
      </c>
      <c r="K91" s="51"/>
      <c r="L91" s="51"/>
      <c r="M91" s="51"/>
      <c r="N91" s="51"/>
      <c r="O91" s="51"/>
      <c r="P91" s="51"/>
      <c r="Q91" s="51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75"/>
      <c r="AC91" s="76" t="s">
        <v>29</v>
      </c>
      <c r="AD91" s="56">
        <f>IF('Ship Data Imperial'!E92&gt;0,'Ship Data Imperial'!E92,Standing!AN91)</f>
        <v>0</v>
      </c>
      <c r="AE91" s="230">
        <f t="shared" si="23"/>
        <v>0</v>
      </c>
      <c r="AF91" s="47">
        <f t="shared" si="2"/>
        <v>0</v>
      </c>
      <c r="AG91" s="231">
        <f t="shared" si="3"/>
        <v>0</v>
      </c>
      <c r="AH91" s="232">
        <f t="shared" si="24"/>
        <v>0</v>
      </c>
      <c r="AI91" s="230">
        <f t="shared" si="5"/>
        <v>0</v>
      </c>
      <c r="AJ91" s="233">
        <f t="shared" si="6"/>
        <v>0</v>
      </c>
      <c r="AK91" s="234">
        <f t="shared" si="33"/>
        <v>0</v>
      </c>
      <c r="AL91" s="228">
        <f t="shared" si="48"/>
        <v>0</v>
      </c>
      <c r="AM91" s="229">
        <f t="shared" si="47"/>
        <v>0</v>
      </c>
      <c r="AN91" s="56">
        <f>'Ship Data Metric'!E92*0.03280839895</f>
        <v>0</v>
      </c>
    </row>
    <row r="92" ht="15.75" customHeight="1">
      <c r="A92" s="51"/>
      <c r="B92" s="195" t="s">
        <v>297</v>
      </c>
      <c r="C92" s="189">
        <f t="shared" si="49"/>
        <v>1</v>
      </c>
      <c r="D92" s="120">
        <f t="shared" si="10"/>
        <v>0.3183091418</v>
      </c>
      <c r="E92" s="249">
        <f t="shared" si="11"/>
        <v>25.4</v>
      </c>
      <c r="F92" s="244">
        <f t="shared" si="12"/>
        <v>8.085052203</v>
      </c>
      <c r="G92" s="123">
        <f>C92/Introduction!$I$20</f>
        <v>0.01041666667</v>
      </c>
      <c r="H92" s="141">
        <f t="shared" si="13"/>
        <v>0.003315720227</v>
      </c>
      <c r="I92" s="124">
        <f>E92/Introduction!$I$20</f>
        <v>0.2645833333</v>
      </c>
      <c r="J92" s="247">
        <f t="shared" si="14"/>
        <v>0.08421929378</v>
      </c>
      <c r="K92" s="51"/>
      <c r="L92" s="51"/>
      <c r="M92" s="51"/>
      <c r="N92" s="51"/>
      <c r="O92" s="51"/>
      <c r="P92" s="51"/>
      <c r="Q92" s="51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75" t="s">
        <v>49</v>
      </c>
      <c r="AC92" s="76" t="s">
        <v>24</v>
      </c>
      <c r="AD92" s="56">
        <f>IF('Ship Data Imperial'!E93&gt;0,'Ship Data Imperial'!E93,Standing!AN92)</f>
        <v>0</v>
      </c>
      <c r="AE92" s="230">
        <f t="shared" si="23"/>
        <v>0</v>
      </c>
      <c r="AF92" s="47">
        <f t="shared" ref="AF92:AF135" si="50">IF(AD92&gt;0,$C$26*0.5,0)</f>
        <v>0</v>
      </c>
      <c r="AG92" s="231">
        <f t="shared" si="3"/>
        <v>0</v>
      </c>
      <c r="AH92" s="232">
        <f t="shared" si="24"/>
        <v>0</v>
      </c>
      <c r="AI92" s="230">
        <f t="shared" si="5"/>
        <v>0</v>
      </c>
      <c r="AJ92" s="233">
        <f t="shared" ref="AJ92:AJ135" si="51">IF(AD92&gt;0,$C$28*0.5,0)</f>
        <v>0</v>
      </c>
      <c r="AK92" s="234">
        <f t="shared" si="33"/>
        <v>0</v>
      </c>
      <c r="AL92" s="228">
        <f>IF(AD92&gt;0,$C$49*0.8,0)</f>
        <v>0</v>
      </c>
      <c r="AM92" s="229">
        <f>IF(AD92&gt;0,3.25,0)</f>
        <v>0</v>
      </c>
      <c r="AN92" s="56">
        <f>'Ship Data Metric'!E93*0.03280839895</f>
        <v>0</v>
      </c>
    </row>
    <row r="93" ht="15.75" customHeight="1">
      <c r="A93" s="51"/>
      <c r="B93" s="250" t="s">
        <v>298</v>
      </c>
      <c r="C93" s="251">
        <f>C75*0.6</f>
        <v>3.929002625</v>
      </c>
      <c r="D93" s="252">
        <f t="shared" si="10"/>
        <v>1.250637454</v>
      </c>
      <c r="E93" s="253">
        <f t="shared" si="11"/>
        <v>99.79666667</v>
      </c>
      <c r="F93" s="254">
        <f t="shared" si="12"/>
        <v>31.76619132</v>
      </c>
      <c r="G93" s="113">
        <f>C93/Introduction!$I$20</f>
        <v>0.04092711067</v>
      </c>
      <c r="H93" s="255">
        <f t="shared" si="13"/>
        <v>0.01302747348</v>
      </c>
      <c r="I93" s="115">
        <f>E93/Introduction!$I$20</f>
        <v>1.039548611</v>
      </c>
      <c r="J93" s="256">
        <f t="shared" si="14"/>
        <v>0.3308978263</v>
      </c>
      <c r="K93" s="51"/>
      <c r="L93" s="51"/>
      <c r="M93" s="51"/>
      <c r="N93" s="51"/>
      <c r="O93" s="51"/>
      <c r="P93" s="51"/>
      <c r="Q93" s="51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75"/>
      <c r="AC93" s="76" t="s">
        <v>25</v>
      </c>
      <c r="AD93" s="56">
        <f>IF('Ship Data Imperial'!E94&gt;0,'Ship Data Imperial'!E94,Standing!AN93)</f>
        <v>0</v>
      </c>
      <c r="AE93" s="230">
        <f t="shared" si="23"/>
        <v>0</v>
      </c>
      <c r="AF93" s="47">
        <f t="shared" si="50"/>
        <v>0</v>
      </c>
      <c r="AG93" s="231">
        <f t="shared" si="3"/>
        <v>0</v>
      </c>
      <c r="AH93" s="232">
        <f t="shared" si="24"/>
        <v>0</v>
      </c>
      <c r="AI93" s="230">
        <f t="shared" si="5"/>
        <v>0</v>
      </c>
      <c r="AJ93" s="233">
        <f t="shared" si="51"/>
        <v>0</v>
      </c>
      <c r="AK93" s="234">
        <f t="shared" si="33"/>
        <v>0</v>
      </c>
      <c r="AL93" s="228">
        <f>IF(AD93&gt;0,$C$49*0.75,0)</f>
        <v>0</v>
      </c>
      <c r="AM93" s="229">
        <f t="shared" ref="AM93:AM97" si="52">IF(AD93&gt;0,3,0)</f>
        <v>0</v>
      </c>
      <c r="AN93" s="56">
        <f>'Ship Data Metric'!E94*0.03280839895</f>
        <v>0</v>
      </c>
    </row>
    <row r="94" ht="15.75" customHeight="1">
      <c r="A94" s="51"/>
      <c r="B94" s="195" t="s">
        <v>299</v>
      </c>
      <c r="C94" s="189">
        <f>C93/2</f>
        <v>1.964501312</v>
      </c>
      <c r="D94" s="120">
        <f t="shared" si="10"/>
        <v>0.6253187269</v>
      </c>
      <c r="E94" s="249">
        <f t="shared" si="11"/>
        <v>49.89833333</v>
      </c>
      <c r="F94" s="244">
        <f t="shared" si="12"/>
        <v>15.88309566</v>
      </c>
      <c r="G94" s="123">
        <f>C94/Introduction!$I$20</f>
        <v>0.02046355534</v>
      </c>
      <c r="H94" s="141">
        <f t="shared" si="13"/>
        <v>0.006513736738</v>
      </c>
      <c r="I94" s="124">
        <f>E94/Introduction!$I$20</f>
        <v>0.5197743056</v>
      </c>
      <c r="J94" s="247">
        <f t="shared" si="14"/>
        <v>0.1654489132</v>
      </c>
      <c r="K94" s="51"/>
      <c r="L94" s="51"/>
      <c r="M94" s="51"/>
      <c r="N94" s="51"/>
      <c r="O94" s="51"/>
      <c r="P94" s="51"/>
      <c r="Q94" s="51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75"/>
      <c r="AC94" s="76" t="s">
        <v>26</v>
      </c>
      <c r="AD94" s="56">
        <f>IF('Ship Data Imperial'!E95&gt;0,'Ship Data Imperial'!E95,Standing!AN94)</f>
        <v>0</v>
      </c>
      <c r="AE94" s="230">
        <f t="shared" si="23"/>
        <v>0</v>
      </c>
      <c r="AF94" s="47">
        <f t="shared" si="50"/>
        <v>0</v>
      </c>
      <c r="AG94" s="231">
        <f t="shared" si="3"/>
        <v>0</v>
      </c>
      <c r="AH94" s="232">
        <f t="shared" si="24"/>
        <v>0</v>
      </c>
      <c r="AI94" s="230">
        <f t="shared" si="5"/>
        <v>0</v>
      </c>
      <c r="AJ94" s="233">
        <f t="shared" si="51"/>
        <v>0</v>
      </c>
      <c r="AK94" s="234">
        <f t="shared" si="33"/>
        <v>0</v>
      </c>
      <c r="AL94" s="228">
        <f t="shared" ref="AL94:AL97" si="53">IF(AD94&gt;0,$C$49*0.66,0)</f>
        <v>0</v>
      </c>
      <c r="AM94" s="229">
        <f t="shared" si="52"/>
        <v>0</v>
      </c>
      <c r="AN94" s="56">
        <f>'Ship Data Metric'!E95*0.03280839895</f>
        <v>0</v>
      </c>
    </row>
    <row r="95" ht="15.75" customHeight="1">
      <c r="A95" s="51"/>
      <c r="B95" s="195" t="s">
        <v>300</v>
      </c>
      <c r="C95" s="189">
        <f>C98</f>
        <v>2.593141732</v>
      </c>
      <c r="D95" s="120">
        <f t="shared" si="10"/>
        <v>0.8254207195</v>
      </c>
      <c r="E95" s="249">
        <f t="shared" si="11"/>
        <v>65.8658</v>
      </c>
      <c r="F95" s="244">
        <f t="shared" si="12"/>
        <v>20.96568627</v>
      </c>
      <c r="G95" s="123">
        <f>C95/Introduction!$I$20</f>
        <v>0.02701189304</v>
      </c>
      <c r="H95" s="141">
        <f t="shared" si="13"/>
        <v>0.008598132494</v>
      </c>
      <c r="I95" s="124">
        <f>E95/Introduction!$I$20</f>
        <v>0.6861020833</v>
      </c>
      <c r="J95" s="247">
        <f t="shared" si="14"/>
        <v>0.2183925654</v>
      </c>
      <c r="K95" s="51"/>
      <c r="L95" s="51"/>
      <c r="M95" s="51"/>
      <c r="N95" s="51"/>
      <c r="O95" s="51"/>
      <c r="P95" s="51"/>
      <c r="Q95" s="51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75"/>
      <c r="AC95" s="76" t="s">
        <v>27</v>
      </c>
      <c r="AD95" s="56">
        <f>IF('Ship Data Imperial'!E96&gt;0,'Ship Data Imperial'!E96,Standing!AN95)</f>
        <v>0</v>
      </c>
      <c r="AE95" s="230">
        <f t="shared" si="23"/>
        <v>0</v>
      </c>
      <c r="AF95" s="47">
        <f t="shared" si="50"/>
        <v>0</v>
      </c>
      <c r="AG95" s="231">
        <f t="shared" si="3"/>
        <v>0</v>
      </c>
      <c r="AH95" s="232">
        <f t="shared" si="24"/>
        <v>0</v>
      </c>
      <c r="AI95" s="230">
        <f t="shared" si="5"/>
        <v>0</v>
      </c>
      <c r="AJ95" s="233">
        <f t="shared" si="51"/>
        <v>0</v>
      </c>
      <c r="AK95" s="234">
        <f t="shared" si="33"/>
        <v>0</v>
      </c>
      <c r="AL95" s="228">
        <f t="shared" si="53"/>
        <v>0</v>
      </c>
      <c r="AM95" s="229">
        <f t="shared" si="52"/>
        <v>0</v>
      </c>
      <c r="AN95" s="56">
        <f>'Ship Data Metric'!E96*0.03280839895</f>
        <v>0</v>
      </c>
    </row>
    <row r="96" ht="15.75" customHeight="1">
      <c r="A96" s="51"/>
      <c r="B96" s="195" t="s">
        <v>301</v>
      </c>
      <c r="C96" s="189">
        <v>1.5</v>
      </c>
      <c r="D96" s="120">
        <f t="shared" si="10"/>
        <v>0.4774637128</v>
      </c>
      <c r="E96" s="249">
        <f t="shared" si="11"/>
        <v>38.1</v>
      </c>
      <c r="F96" s="244">
        <f t="shared" si="12"/>
        <v>12.1275783</v>
      </c>
      <c r="G96" s="123">
        <f>C96/Introduction!$I$20</f>
        <v>0.015625</v>
      </c>
      <c r="H96" s="141">
        <f t="shared" si="13"/>
        <v>0.004973580341</v>
      </c>
      <c r="I96" s="124">
        <f>E96/Introduction!$I$20</f>
        <v>0.396875</v>
      </c>
      <c r="J96" s="247">
        <f t="shared" si="14"/>
        <v>0.1263289407</v>
      </c>
      <c r="K96" s="51"/>
      <c r="L96" s="51"/>
      <c r="M96" s="51"/>
      <c r="N96" s="51"/>
      <c r="O96" s="51"/>
      <c r="P96" s="51"/>
      <c r="Q96" s="51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75"/>
      <c r="AC96" s="76" t="s">
        <v>28</v>
      </c>
      <c r="AD96" s="56">
        <f>IF('Ship Data Imperial'!E97&gt;0,'Ship Data Imperial'!E97,Standing!AN96)</f>
        <v>0</v>
      </c>
      <c r="AE96" s="230">
        <f t="shared" si="23"/>
        <v>0</v>
      </c>
      <c r="AF96" s="47">
        <f t="shared" si="50"/>
        <v>0</v>
      </c>
      <c r="AG96" s="231">
        <f t="shared" si="3"/>
        <v>0</v>
      </c>
      <c r="AH96" s="232">
        <f t="shared" si="24"/>
        <v>0</v>
      </c>
      <c r="AI96" s="230">
        <f t="shared" si="5"/>
        <v>0</v>
      </c>
      <c r="AJ96" s="233">
        <f t="shared" si="51"/>
        <v>0</v>
      </c>
      <c r="AK96" s="234">
        <f t="shared" si="33"/>
        <v>0</v>
      </c>
      <c r="AL96" s="228">
        <f t="shared" si="53"/>
        <v>0</v>
      </c>
      <c r="AM96" s="229">
        <f t="shared" si="52"/>
        <v>0</v>
      </c>
      <c r="AN96" s="56">
        <f>'Ship Data Metric'!E97*0.03280839895</f>
        <v>0</v>
      </c>
    </row>
    <row r="97" ht="15.75" customHeight="1">
      <c r="A97" s="51"/>
      <c r="B97" s="195" t="s">
        <v>302</v>
      </c>
      <c r="C97" s="189">
        <f>C93/4</f>
        <v>0.9822506562</v>
      </c>
      <c r="D97" s="120">
        <f t="shared" si="10"/>
        <v>0.3126593634</v>
      </c>
      <c r="E97" s="249">
        <f t="shared" si="11"/>
        <v>24.94916667</v>
      </c>
      <c r="F97" s="244">
        <f t="shared" si="12"/>
        <v>7.941547831</v>
      </c>
      <c r="G97" s="123">
        <f>C97/Introduction!$I$20</f>
        <v>0.01023177767</v>
      </c>
      <c r="H97" s="141">
        <f t="shared" si="13"/>
        <v>0.003256868369</v>
      </c>
      <c r="I97" s="124">
        <f>E97/Introduction!$I$20</f>
        <v>0.2598871528</v>
      </c>
      <c r="J97" s="247">
        <f t="shared" si="14"/>
        <v>0.08272445658</v>
      </c>
      <c r="K97" s="51"/>
      <c r="L97" s="51"/>
      <c r="M97" s="51"/>
      <c r="N97" s="51"/>
      <c r="O97" s="51"/>
      <c r="P97" s="51"/>
      <c r="Q97" s="51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75"/>
      <c r="AC97" s="76" t="s">
        <v>29</v>
      </c>
      <c r="AD97" s="56">
        <f>IF('Ship Data Imperial'!E98&gt;0,'Ship Data Imperial'!E98,Standing!AN97)</f>
        <v>0</v>
      </c>
      <c r="AE97" s="230">
        <f t="shared" si="23"/>
        <v>0</v>
      </c>
      <c r="AF97" s="47">
        <f t="shared" si="50"/>
        <v>0</v>
      </c>
      <c r="AG97" s="231">
        <f t="shared" si="3"/>
        <v>0</v>
      </c>
      <c r="AH97" s="232">
        <f t="shared" si="24"/>
        <v>0</v>
      </c>
      <c r="AI97" s="230">
        <f t="shared" si="5"/>
        <v>0</v>
      </c>
      <c r="AJ97" s="233">
        <f t="shared" si="51"/>
        <v>0</v>
      </c>
      <c r="AK97" s="234">
        <f t="shared" si="33"/>
        <v>0</v>
      </c>
      <c r="AL97" s="228">
        <f t="shared" si="53"/>
        <v>0</v>
      </c>
      <c r="AM97" s="229">
        <f t="shared" si="52"/>
        <v>0</v>
      </c>
      <c r="AN97" s="56">
        <f>'Ship Data Metric'!E98*0.03280839895</f>
        <v>0</v>
      </c>
    </row>
    <row r="98" ht="15.75" customHeight="1">
      <c r="A98" s="51"/>
      <c r="B98" s="195" t="s">
        <v>303</v>
      </c>
      <c r="C98" s="189">
        <f>C93*0.66</f>
        <v>2.593141732</v>
      </c>
      <c r="D98" s="120">
        <f t="shared" si="10"/>
        <v>0.8254207195</v>
      </c>
      <c r="E98" s="249">
        <f t="shared" si="11"/>
        <v>65.8658</v>
      </c>
      <c r="F98" s="244">
        <f t="shared" si="12"/>
        <v>20.96568627</v>
      </c>
      <c r="G98" s="123">
        <f>C98/Introduction!$I$20</f>
        <v>0.02701189304</v>
      </c>
      <c r="H98" s="141">
        <f t="shared" si="13"/>
        <v>0.008598132494</v>
      </c>
      <c r="I98" s="124">
        <f>E98/Introduction!$I$20</f>
        <v>0.6861020833</v>
      </c>
      <c r="J98" s="247">
        <f t="shared" si="14"/>
        <v>0.2183925654</v>
      </c>
      <c r="K98" s="51"/>
      <c r="L98" s="51"/>
      <c r="M98" s="51"/>
      <c r="N98" s="51"/>
      <c r="O98" s="51"/>
      <c r="P98" s="51"/>
      <c r="Q98" s="51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75" t="s">
        <v>50</v>
      </c>
      <c r="AC98" s="158" t="s">
        <v>24</v>
      </c>
      <c r="AD98" s="56">
        <f>IF('Ship Data Imperial'!E99&gt;0,'Ship Data Imperial'!E99,Standing!AN98)</f>
        <v>0</v>
      </c>
      <c r="AE98" s="230">
        <f t="shared" si="23"/>
        <v>0</v>
      </c>
      <c r="AF98" s="47">
        <f t="shared" si="50"/>
        <v>0</v>
      </c>
      <c r="AG98" s="231">
        <f t="shared" si="3"/>
        <v>0</v>
      </c>
      <c r="AH98" s="232">
        <f t="shared" si="24"/>
        <v>0</v>
      </c>
      <c r="AI98" s="230">
        <f t="shared" si="5"/>
        <v>0</v>
      </c>
      <c r="AJ98" s="233">
        <f t="shared" si="51"/>
        <v>0</v>
      </c>
      <c r="AK98" s="234">
        <f t="shared" si="33"/>
        <v>0</v>
      </c>
      <c r="AL98" s="228">
        <f>IF(AD98&gt;0,$C$49*0.8,0)</f>
        <v>0</v>
      </c>
      <c r="AM98" s="229">
        <f>IF(AD98&gt;0,3.25,0)</f>
        <v>0</v>
      </c>
      <c r="AN98" s="56">
        <f>'Ship Data Metric'!E99*0.03280839895</f>
        <v>0</v>
      </c>
    </row>
    <row r="99" ht="15.75" customHeight="1">
      <c r="A99" s="51"/>
      <c r="B99" s="195" t="s">
        <v>304</v>
      </c>
      <c r="C99" s="189">
        <f>C98/2</f>
        <v>1.296570866</v>
      </c>
      <c r="D99" s="120">
        <f t="shared" si="10"/>
        <v>0.4127103597</v>
      </c>
      <c r="E99" s="249">
        <f t="shared" si="11"/>
        <v>32.9329</v>
      </c>
      <c r="F99" s="244">
        <f t="shared" si="12"/>
        <v>10.48284314</v>
      </c>
      <c r="G99" s="123">
        <f>C99/Introduction!$I$20</f>
        <v>0.01350594652</v>
      </c>
      <c r="H99" s="141">
        <f t="shared" si="13"/>
        <v>0.004299066247</v>
      </c>
      <c r="I99" s="124">
        <f>E99/Introduction!$I$20</f>
        <v>0.3430510417</v>
      </c>
      <c r="J99" s="247">
        <f t="shared" si="14"/>
        <v>0.1091962827</v>
      </c>
      <c r="K99" s="51"/>
      <c r="L99" s="51"/>
      <c r="M99" s="51"/>
      <c r="N99" s="51"/>
      <c r="O99" s="51"/>
      <c r="P99" s="51"/>
      <c r="Q99" s="51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75"/>
      <c r="AC99" s="158" t="s">
        <v>25</v>
      </c>
      <c r="AD99" s="56">
        <f>IF('Ship Data Imperial'!E100&gt;0,'Ship Data Imperial'!E100,Standing!AN99)</f>
        <v>0</v>
      </c>
      <c r="AE99" s="230">
        <f t="shared" si="23"/>
        <v>0</v>
      </c>
      <c r="AF99" s="47">
        <f t="shared" si="50"/>
        <v>0</v>
      </c>
      <c r="AG99" s="231">
        <f t="shared" si="3"/>
        <v>0</v>
      </c>
      <c r="AH99" s="232">
        <f t="shared" si="24"/>
        <v>0</v>
      </c>
      <c r="AI99" s="230">
        <f t="shared" si="5"/>
        <v>0</v>
      </c>
      <c r="AJ99" s="233">
        <f t="shared" si="51"/>
        <v>0</v>
      </c>
      <c r="AK99" s="234">
        <f t="shared" si="33"/>
        <v>0</v>
      </c>
      <c r="AL99" s="228">
        <f t="shared" ref="AL99:AL104" si="54">IF(AD99&gt;0,$C$49*0.75,0)</f>
        <v>0</v>
      </c>
      <c r="AM99" s="229">
        <f t="shared" ref="AM99:AM105" si="55">IF(AD99&gt;0,3,0)</f>
        <v>0</v>
      </c>
      <c r="AN99" s="56">
        <f>'Ship Data Metric'!E100*0.03280839895</f>
        <v>0</v>
      </c>
    </row>
    <row r="100" ht="15.75" customHeight="1">
      <c r="A100" s="51"/>
      <c r="B100" s="195" t="s">
        <v>305</v>
      </c>
      <c r="C100" s="189">
        <f>C103</f>
        <v>2</v>
      </c>
      <c r="D100" s="120">
        <f t="shared" si="10"/>
        <v>0.6366182837</v>
      </c>
      <c r="E100" s="249">
        <f t="shared" si="11"/>
        <v>50.8</v>
      </c>
      <c r="F100" s="244">
        <f t="shared" si="12"/>
        <v>16.17010441</v>
      </c>
      <c r="G100" s="123">
        <f>C100/Introduction!$I$20</f>
        <v>0.02083333333</v>
      </c>
      <c r="H100" s="141">
        <f t="shared" si="13"/>
        <v>0.006631440455</v>
      </c>
      <c r="I100" s="124">
        <f>E100/Introduction!$I$20</f>
        <v>0.5291666667</v>
      </c>
      <c r="J100" s="247">
        <f t="shared" si="14"/>
        <v>0.1684385876</v>
      </c>
      <c r="K100" s="51"/>
      <c r="L100" s="51"/>
      <c r="M100" s="51"/>
      <c r="N100" s="51"/>
      <c r="O100" s="51"/>
      <c r="P100" s="51"/>
      <c r="Q100" s="51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75"/>
      <c r="AC100" s="158" t="s">
        <v>40</v>
      </c>
      <c r="AD100" s="56">
        <f>IF('Ship Data Imperial'!E101&gt;0,'Ship Data Imperial'!E101,Standing!AN100)</f>
        <v>0</v>
      </c>
      <c r="AE100" s="230">
        <f t="shared" si="23"/>
        <v>0</v>
      </c>
      <c r="AF100" s="47">
        <f t="shared" si="50"/>
        <v>0</v>
      </c>
      <c r="AG100" s="231">
        <f t="shared" si="3"/>
        <v>0</v>
      </c>
      <c r="AH100" s="232">
        <f t="shared" si="24"/>
        <v>0</v>
      </c>
      <c r="AI100" s="230">
        <f t="shared" si="5"/>
        <v>0</v>
      </c>
      <c r="AJ100" s="233">
        <f t="shared" si="51"/>
        <v>0</v>
      </c>
      <c r="AK100" s="234">
        <f t="shared" si="33"/>
        <v>0</v>
      </c>
      <c r="AL100" s="228">
        <f t="shared" si="54"/>
        <v>0</v>
      </c>
      <c r="AM100" s="229">
        <f t="shared" si="55"/>
        <v>0</v>
      </c>
      <c r="AN100" s="56">
        <f>'Ship Data Metric'!E101*0.03280839895</f>
        <v>0</v>
      </c>
    </row>
    <row r="101" ht="15.75" customHeight="1">
      <c r="A101" s="51"/>
      <c r="B101" s="195" t="s">
        <v>306</v>
      </c>
      <c r="C101" s="189">
        <v>1.5</v>
      </c>
      <c r="D101" s="120">
        <f t="shared" si="10"/>
        <v>0.4774637128</v>
      </c>
      <c r="E101" s="249">
        <f t="shared" si="11"/>
        <v>38.1</v>
      </c>
      <c r="F101" s="244">
        <f t="shared" si="12"/>
        <v>12.1275783</v>
      </c>
      <c r="G101" s="123">
        <f>C101/Introduction!$I$20</f>
        <v>0.015625</v>
      </c>
      <c r="H101" s="141">
        <f t="shared" si="13"/>
        <v>0.004973580341</v>
      </c>
      <c r="I101" s="124">
        <f>E101/Introduction!$I$20</f>
        <v>0.396875</v>
      </c>
      <c r="J101" s="247">
        <f t="shared" si="14"/>
        <v>0.1263289407</v>
      </c>
      <c r="K101" s="51"/>
      <c r="L101" s="51"/>
      <c r="M101" s="51"/>
      <c r="N101" s="51"/>
      <c r="O101" s="51"/>
      <c r="P101" s="51"/>
      <c r="Q101" s="51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75"/>
      <c r="AC101" s="158" t="s">
        <v>41</v>
      </c>
      <c r="AD101" s="56">
        <f>IF('Ship Data Imperial'!E102&gt;0,'Ship Data Imperial'!E102,Standing!AN101)</f>
        <v>0</v>
      </c>
      <c r="AE101" s="230">
        <f t="shared" si="23"/>
        <v>0</v>
      </c>
      <c r="AF101" s="47">
        <f t="shared" si="50"/>
        <v>0</v>
      </c>
      <c r="AG101" s="231">
        <f t="shared" si="3"/>
        <v>0</v>
      </c>
      <c r="AH101" s="232">
        <f t="shared" si="24"/>
        <v>0</v>
      </c>
      <c r="AI101" s="230">
        <f t="shared" si="5"/>
        <v>0</v>
      </c>
      <c r="AJ101" s="233">
        <f t="shared" si="51"/>
        <v>0</v>
      </c>
      <c r="AK101" s="234">
        <f t="shared" si="33"/>
        <v>0</v>
      </c>
      <c r="AL101" s="228">
        <f t="shared" si="54"/>
        <v>0</v>
      </c>
      <c r="AM101" s="229">
        <f t="shared" si="55"/>
        <v>0</v>
      </c>
      <c r="AN101" s="56">
        <f>'Ship Data Metric'!E102*0.03280839895</f>
        <v>0</v>
      </c>
    </row>
    <row r="102" ht="15.75" customHeight="1">
      <c r="A102" s="51"/>
      <c r="B102" s="195" t="s">
        <v>307</v>
      </c>
      <c r="C102" s="189">
        <f>C97</f>
        <v>0.9822506562</v>
      </c>
      <c r="D102" s="120">
        <f t="shared" si="10"/>
        <v>0.3126593634</v>
      </c>
      <c r="E102" s="249">
        <f t="shared" si="11"/>
        <v>24.94916667</v>
      </c>
      <c r="F102" s="244">
        <f t="shared" si="12"/>
        <v>7.941547831</v>
      </c>
      <c r="G102" s="123">
        <f>C102/Introduction!$I$20</f>
        <v>0.01023177767</v>
      </c>
      <c r="H102" s="141">
        <f t="shared" si="13"/>
        <v>0.003256868369</v>
      </c>
      <c r="I102" s="124">
        <f>E102/Introduction!$I$20</f>
        <v>0.2598871528</v>
      </c>
      <c r="J102" s="247">
        <f t="shared" si="14"/>
        <v>0.08272445658</v>
      </c>
      <c r="K102" s="51"/>
      <c r="L102" s="51"/>
      <c r="M102" s="51"/>
      <c r="N102" s="51"/>
      <c r="O102" s="51"/>
      <c r="P102" s="51"/>
      <c r="Q102" s="51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75"/>
      <c r="AC102" s="76" t="s">
        <v>27</v>
      </c>
      <c r="AD102" s="56">
        <f>IF('Ship Data Imperial'!E103&gt;0,'Ship Data Imperial'!E103,Standing!AN102)</f>
        <v>0</v>
      </c>
      <c r="AE102" s="230">
        <f t="shared" si="23"/>
        <v>0</v>
      </c>
      <c r="AF102" s="47">
        <f t="shared" si="50"/>
        <v>0</v>
      </c>
      <c r="AG102" s="231">
        <f t="shared" si="3"/>
        <v>0</v>
      </c>
      <c r="AH102" s="232">
        <f t="shared" si="24"/>
        <v>0</v>
      </c>
      <c r="AI102" s="230">
        <f t="shared" si="5"/>
        <v>0</v>
      </c>
      <c r="AJ102" s="233">
        <f t="shared" si="51"/>
        <v>0</v>
      </c>
      <c r="AK102" s="234">
        <f t="shared" si="33"/>
        <v>0</v>
      </c>
      <c r="AL102" s="228">
        <f t="shared" si="54"/>
        <v>0</v>
      </c>
      <c r="AM102" s="229">
        <f t="shared" si="55"/>
        <v>0</v>
      </c>
      <c r="AN102" s="56">
        <f>'Ship Data Metric'!E103*0.03280839895</f>
        <v>0</v>
      </c>
    </row>
    <row r="103" ht="15.75" customHeight="1">
      <c r="A103" s="51"/>
      <c r="B103" s="195" t="s">
        <v>308</v>
      </c>
      <c r="C103" s="189">
        <f>C85</f>
        <v>2</v>
      </c>
      <c r="D103" s="120">
        <f t="shared" si="10"/>
        <v>0.6366182837</v>
      </c>
      <c r="E103" s="249">
        <f t="shared" si="11"/>
        <v>50.8</v>
      </c>
      <c r="F103" s="244">
        <f t="shared" si="12"/>
        <v>16.17010441</v>
      </c>
      <c r="G103" s="123">
        <f>C103/Introduction!$I$20</f>
        <v>0.02083333333</v>
      </c>
      <c r="H103" s="141">
        <f t="shared" si="13"/>
        <v>0.006631440455</v>
      </c>
      <c r="I103" s="124">
        <f>E103/Introduction!$I$20</f>
        <v>0.5291666667</v>
      </c>
      <c r="J103" s="247">
        <f t="shared" si="14"/>
        <v>0.1684385876</v>
      </c>
      <c r="K103" s="51"/>
      <c r="L103" s="51"/>
      <c r="M103" s="51"/>
      <c r="N103" s="51"/>
      <c r="O103" s="51"/>
      <c r="P103" s="51"/>
      <c r="Q103" s="51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75"/>
      <c r="AC103" s="76" t="s">
        <v>28</v>
      </c>
      <c r="AD103" s="56">
        <f>IF('Ship Data Imperial'!E104&gt;0,'Ship Data Imperial'!E104,Standing!AN103)</f>
        <v>39.29002625</v>
      </c>
      <c r="AE103" s="230">
        <f t="shared" si="23"/>
        <v>4.71480315</v>
      </c>
      <c r="AF103" s="47">
        <f t="shared" si="50"/>
        <v>2.946751968</v>
      </c>
      <c r="AG103" s="231">
        <f t="shared" si="3"/>
        <v>4.583836395</v>
      </c>
      <c r="AH103" s="232">
        <f t="shared" si="24"/>
        <v>3.300362205</v>
      </c>
      <c r="AI103" s="230">
        <f t="shared" si="5"/>
        <v>4.125452756</v>
      </c>
      <c r="AJ103" s="233">
        <f t="shared" si="51"/>
        <v>2.062726378</v>
      </c>
      <c r="AK103" s="234">
        <f t="shared" si="33"/>
        <v>2.946751968</v>
      </c>
      <c r="AL103" s="228">
        <f t="shared" si="54"/>
        <v>1.750370669</v>
      </c>
      <c r="AM103" s="229">
        <f t="shared" si="55"/>
        <v>3</v>
      </c>
      <c r="AN103" s="56">
        <f>'Ship Data Metric'!E104*0.03280839895</f>
        <v>39.29002625</v>
      </c>
    </row>
    <row r="104" ht="15.75" customHeight="1">
      <c r="A104" s="51"/>
      <c r="B104" s="195" t="s">
        <v>309</v>
      </c>
      <c r="C104" s="189">
        <f>C103/2</f>
        <v>1</v>
      </c>
      <c r="D104" s="120">
        <f t="shared" si="10"/>
        <v>0.3183091418</v>
      </c>
      <c r="E104" s="249">
        <f t="shared" si="11"/>
        <v>25.4</v>
      </c>
      <c r="F104" s="244">
        <f t="shared" si="12"/>
        <v>8.085052203</v>
      </c>
      <c r="G104" s="123">
        <f>C104/Introduction!$I$20</f>
        <v>0.01041666667</v>
      </c>
      <c r="H104" s="141">
        <f t="shared" si="13"/>
        <v>0.003315720227</v>
      </c>
      <c r="I104" s="124">
        <f>E104/Introduction!$I$20</f>
        <v>0.2645833333</v>
      </c>
      <c r="J104" s="247">
        <f t="shared" si="14"/>
        <v>0.08421929378</v>
      </c>
      <c r="K104" s="51"/>
      <c r="L104" s="51"/>
      <c r="M104" s="51"/>
      <c r="N104" s="51"/>
      <c r="O104" s="51"/>
      <c r="P104" s="51"/>
      <c r="Q104" s="51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75"/>
      <c r="AC104" s="76" t="s">
        <v>29</v>
      </c>
      <c r="AD104" s="56">
        <f>IF('Ship Data Imperial'!E105&gt;0,'Ship Data Imperial'!E105,Standing!AN104)</f>
        <v>0</v>
      </c>
      <c r="AE104" s="230">
        <f t="shared" si="23"/>
        <v>0</v>
      </c>
      <c r="AF104" s="47">
        <f t="shared" si="50"/>
        <v>0</v>
      </c>
      <c r="AG104" s="231">
        <f t="shared" si="3"/>
        <v>0</v>
      </c>
      <c r="AH104" s="232">
        <f t="shared" si="24"/>
        <v>0</v>
      </c>
      <c r="AI104" s="230">
        <f t="shared" si="5"/>
        <v>0</v>
      </c>
      <c r="AJ104" s="233">
        <f t="shared" si="51"/>
        <v>0</v>
      </c>
      <c r="AK104" s="234">
        <f t="shared" si="33"/>
        <v>0</v>
      </c>
      <c r="AL104" s="228">
        <f t="shared" si="54"/>
        <v>0</v>
      </c>
      <c r="AM104" s="229">
        <f t="shared" si="55"/>
        <v>0</v>
      </c>
      <c r="AN104" s="56">
        <f>'Ship Data Metric'!E105*0.03280839895</f>
        <v>0</v>
      </c>
    </row>
    <row r="105" ht="15.75" customHeight="1">
      <c r="A105" s="51"/>
      <c r="B105" s="195" t="s">
        <v>310</v>
      </c>
      <c r="C105" s="189">
        <f>C117</f>
        <v>2</v>
      </c>
      <c r="D105" s="120">
        <f t="shared" si="10"/>
        <v>0.6366182837</v>
      </c>
      <c r="E105" s="249">
        <f t="shared" si="11"/>
        <v>50.8</v>
      </c>
      <c r="F105" s="244">
        <f t="shared" si="12"/>
        <v>16.17010441</v>
      </c>
      <c r="G105" s="123">
        <f>C105/Introduction!$I$20</f>
        <v>0.02083333333</v>
      </c>
      <c r="H105" s="141">
        <f t="shared" si="13"/>
        <v>0.006631440455</v>
      </c>
      <c r="I105" s="124">
        <f>E105/Introduction!$I$20</f>
        <v>0.5291666667</v>
      </c>
      <c r="J105" s="247">
        <f t="shared" si="14"/>
        <v>0.1684385876</v>
      </c>
      <c r="K105" s="51"/>
      <c r="L105" s="51"/>
      <c r="M105" s="51"/>
      <c r="N105" s="51"/>
      <c r="O105" s="51"/>
      <c r="P105" s="51"/>
      <c r="Q105" s="51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75"/>
      <c r="AC105" s="158" t="s">
        <v>56</v>
      </c>
      <c r="AD105" s="56">
        <f>IF('Ship Data Imperial'!E106&gt;0,'Ship Data Imperial'!E106,Standing!AN105)</f>
        <v>0</v>
      </c>
      <c r="AE105" s="230">
        <f t="shared" si="23"/>
        <v>0</v>
      </c>
      <c r="AF105" s="47">
        <f t="shared" si="50"/>
        <v>0</v>
      </c>
      <c r="AG105" s="231">
        <f t="shared" si="3"/>
        <v>0</v>
      </c>
      <c r="AH105" s="232">
        <f t="shared" si="24"/>
        <v>0</v>
      </c>
      <c r="AI105" s="230">
        <f t="shared" si="5"/>
        <v>0</v>
      </c>
      <c r="AJ105" s="233">
        <f t="shared" si="51"/>
        <v>0</v>
      </c>
      <c r="AK105" s="234">
        <f t="shared" si="33"/>
        <v>0</v>
      </c>
      <c r="AL105" s="228">
        <f>IF(AD105&gt;0,$C$49*0.66,0)</f>
        <v>0</v>
      </c>
      <c r="AM105" s="229">
        <f t="shared" si="55"/>
        <v>0</v>
      </c>
      <c r="AN105" s="56">
        <f>'Ship Data Metric'!E106*0.03280839895</f>
        <v>0</v>
      </c>
    </row>
    <row r="106" ht="15.75" customHeight="1">
      <c r="A106" s="51"/>
      <c r="B106" s="195" t="s">
        <v>311</v>
      </c>
      <c r="C106" s="189">
        <v>1.5</v>
      </c>
      <c r="D106" s="120">
        <f t="shared" si="10"/>
        <v>0.4774637128</v>
      </c>
      <c r="E106" s="249">
        <f t="shared" si="11"/>
        <v>38.1</v>
      </c>
      <c r="F106" s="244">
        <f t="shared" si="12"/>
        <v>12.1275783</v>
      </c>
      <c r="G106" s="123">
        <f>C106/Introduction!$I$20</f>
        <v>0.015625</v>
      </c>
      <c r="H106" s="141">
        <f t="shared" si="13"/>
        <v>0.004973580341</v>
      </c>
      <c r="I106" s="124">
        <f>E106/Introduction!$I$20</f>
        <v>0.396875</v>
      </c>
      <c r="J106" s="247">
        <f t="shared" si="14"/>
        <v>0.1263289407</v>
      </c>
      <c r="K106" s="51"/>
      <c r="L106" s="51"/>
      <c r="M106" s="51"/>
      <c r="N106" s="51"/>
      <c r="O106" s="51"/>
      <c r="P106" s="51"/>
      <c r="Q106" s="51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75" t="s">
        <v>52</v>
      </c>
      <c r="AC106" s="158" t="s">
        <v>24</v>
      </c>
      <c r="AD106" s="56">
        <f>IF('Ship Data Imperial'!E107&gt;0,'Ship Data Imperial'!E107,Standing!AN106)</f>
        <v>0</v>
      </c>
      <c r="AE106" s="230">
        <f t="shared" si="23"/>
        <v>0</v>
      </c>
      <c r="AF106" s="47">
        <f t="shared" si="50"/>
        <v>0</v>
      </c>
      <c r="AG106" s="231">
        <f t="shared" ref="AG106:AG135" si="56">IF(AD106&gt;0,$C$75,0)</f>
        <v>0</v>
      </c>
      <c r="AH106" s="232">
        <f t="shared" si="24"/>
        <v>0</v>
      </c>
      <c r="AI106" s="230">
        <f t="shared" ref="AI106:AI135" si="57">IF(AD106&gt;0,$C$26,0)</f>
        <v>0</v>
      </c>
      <c r="AJ106" s="233">
        <f t="shared" si="51"/>
        <v>0</v>
      </c>
      <c r="AK106" s="234">
        <f t="shared" si="33"/>
        <v>0</v>
      </c>
      <c r="AL106" s="228">
        <f>IF(AD106&gt;0,$C$49*0.8,0)</f>
        <v>0</v>
      </c>
      <c r="AM106" s="229">
        <f>IF(AD106&gt;0,3.25,0)</f>
        <v>0</v>
      </c>
      <c r="AN106" s="56">
        <f>'Ship Data Metric'!E107*0.03280839895</f>
        <v>0</v>
      </c>
    </row>
    <row r="107" ht="15.75" customHeight="1">
      <c r="A107" s="51"/>
      <c r="B107" s="250" t="s">
        <v>312</v>
      </c>
      <c r="C107" s="251">
        <f>C93</f>
        <v>3.929002625</v>
      </c>
      <c r="D107" s="252">
        <f t="shared" si="10"/>
        <v>1.250637454</v>
      </c>
      <c r="E107" s="253">
        <f t="shared" si="11"/>
        <v>99.79666667</v>
      </c>
      <c r="F107" s="254">
        <f t="shared" si="12"/>
        <v>31.76619132</v>
      </c>
      <c r="G107" s="113">
        <f>C107/Introduction!$I$20</f>
        <v>0.04092711067</v>
      </c>
      <c r="H107" s="255">
        <f t="shared" si="13"/>
        <v>0.01302747348</v>
      </c>
      <c r="I107" s="115">
        <f>E107/Introduction!$I$20</f>
        <v>1.039548611</v>
      </c>
      <c r="J107" s="256">
        <f t="shared" si="14"/>
        <v>0.3308978263</v>
      </c>
      <c r="K107" s="51"/>
      <c r="L107" s="51"/>
      <c r="M107" s="51"/>
      <c r="N107" s="51"/>
      <c r="O107" s="51"/>
      <c r="P107" s="51"/>
      <c r="Q107" s="51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75"/>
      <c r="AC107" s="158" t="s">
        <v>25</v>
      </c>
      <c r="AD107" s="56">
        <f>IF('Ship Data Imperial'!E108&gt;0,'Ship Data Imperial'!E108,Standing!AN107)</f>
        <v>0</v>
      </c>
      <c r="AE107" s="230">
        <f t="shared" si="23"/>
        <v>0</v>
      </c>
      <c r="AF107" s="47">
        <f t="shared" si="50"/>
        <v>0</v>
      </c>
      <c r="AG107" s="231">
        <f t="shared" si="56"/>
        <v>0</v>
      </c>
      <c r="AH107" s="232">
        <f t="shared" si="24"/>
        <v>0</v>
      </c>
      <c r="AI107" s="230">
        <f t="shared" si="57"/>
        <v>0</v>
      </c>
      <c r="AJ107" s="233">
        <f t="shared" si="51"/>
        <v>0</v>
      </c>
      <c r="AK107" s="234">
        <f t="shared" si="33"/>
        <v>0</v>
      </c>
      <c r="AL107" s="228">
        <f t="shared" ref="AL107:AL112" si="58">IF(AD107&gt;0,$C$49*0.75,0)</f>
        <v>0</v>
      </c>
      <c r="AM107" s="229">
        <f t="shared" ref="AM107:AM113" si="59">IF(AD107&gt;0,3,0)</f>
        <v>0</v>
      </c>
      <c r="AN107" s="56">
        <f>'Ship Data Metric'!E108*0.03280839895</f>
        <v>0</v>
      </c>
    </row>
    <row r="108" ht="15.75" customHeight="1">
      <c r="A108" s="51"/>
      <c r="B108" s="195" t="s">
        <v>313</v>
      </c>
      <c r="C108" s="189">
        <f>C107/2</f>
        <v>1.964501312</v>
      </c>
      <c r="D108" s="120">
        <f t="shared" si="10"/>
        <v>0.6253187269</v>
      </c>
      <c r="E108" s="249">
        <f t="shared" si="11"/>
        <v>49.89833333</v>
      </c>
      <c r="F108" s="244">
        <f t="shared" si="12"/>
        <v>15.88309566</v>
      </c>
      <c r="G108" s="123">
        <f>C108/Introduction!$I$20</f>
        <v>0.02046355534</v>
      </c>
      <c r="H108" s="141">
        <f t="shared" si="13"/>
        <v>0.006513736738</v>
      </c>
      <c r="I108" s="124">
        <f>E108/Introduction!$I$20</f>
        <v>0.5197743056</v>
      </c>
      <c r="J108" s="247">
        <f t="shared" si="14"/>
        <v>0.1654489132</v>
      </c>
      <c r="K108" s="51"/>
      <c r="L108" s="51"/>
      <c r="M108" s="51"/>
      <c r="N108" s="51"/>
      <c r="O108" s="51"/>
      <c r="P108" s="51"/>
      <c r="Q108" s="51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75"/>
      <c r="AC108" s="158" t="s">
        <v>40</v>
      </c>
      <c r="AD108" s="56">
        <f>IF('Ship Data Imperial'!E109&gt;0,'Ship Data Imperial'!E109,Standing!AN108)</f>
        <v>0</v>
      </c>
      <c r="AE108" s="230">
        <f t="shared" si="23"/>
        <v>0</v>
      </c>
      <c r="AF108" s="47">
        <f t="shared" si="50"/>
        <v>0</v>
      </c>
      <c r="AG108" s="231">
        <f t="shared" si="56"/>
        <v>0</v>
      </c>
      <c r="AH108" s="232">
        <f t="shared" si="24"/>
        <v>0</v>
      </c>
      <c r="AI108" s="230">
        <f t="shared" si="57"/>
        <v>0</v>
      </c>
      <c r="AJ108" s="233">
        <f t="shared" si="51"/>
        <v>0</v>
      </c>
      <c r="AK108" s="234">
        <f t="shared" si="33"/>
        <v>0</v>
      </c>
      <c r="AL108" s="228">
        <f t="shared" si="58"/>
        <v>0</v>
      </c>
      <c r="AM108" s="229">
        <f t="shared" si="59"/>
        <v>0</v>
      </c>
      <c r="AN108" s="56">
        <f>'Ship Data Metric'!E109*0.03280839895</f>
        <v>0</v>
      </c>
    </row>
    <row r="109" ht="15.75" customHeight="1">
      <c r="A109" s="51"/>
      <c r="B109" s="195" t="s">
        <v>314</v>
      </c>
      <c r="C109" s="189">
        <f t="shared" ref="C109:C110" si="60">C107</f>
        <v>3.929002625</v>
      </c>
      <c r="D109" s="120">
        <f t="shared" si="10"/>
        <v>1.250637454</v>
      </c>
      <c r="E109" s="249">
        <f t="shared" si="11"/>
        <v>99.79666667</v>
      </c>
      <c r="F109" s="244">
        <f t="shared" si="12"/>
        <v>31.76619132</v>
      </c>
      <c r="G109" s="123">
        <f>C109/Introduction!$I$20</f>
        <v>0.04092711067</v>
      </c>
      <c r="H109" s="141">
        <f t="shared" si="13"/>
        <v>0.01302747348</v>
      </c>
      <c r="I109" s="124">
        <f>E109/Introduction!$I$20</f>
        <v>1.039548611</v>
      </c>
      <c r="J109" s="247">
        <f t="shared" si="14"/>
        <v>0.3308978263</v>
      </c>
      <c r="K109" s="51"/>
      <c r="L109" s="51"/>
      <c r="M109" s="51"/>
      <c r="N109" s="51"/>
      <c r="O109" s="51"/>
      <c r="P109" s="51"/>
      <c r="Q109" s="51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75"/>
      <c r="AC109" s="158" t="s">
        <v>41</v>
      </c>
      <c r="AD109" s="56">
        <f>IF('Ship Data Imperial'!E110&gt;0,'Ship Data Imperial'!E110,Standing!AN109)</f>
        <v>0</v>
      </c>
      <c r="AE109" s="230">
        <f t="shared" si="23"/>
        <v>0</v>
      </c>
      <c r="AF109" s="47">
        <f t="shared" si="50"/>
        <v>0</v>
      </c>
      <c r="AG109" s="231">
        <f t="shared" si="56"/>
        <v>0</v>
      </c>
      <c r="AH109" s="232">
        <f t="shared" si="24"/>
        <v>0</v>
      </c>
      <c r="AI109" s="230">
        <f t="shared" si="57"/>
        <v>0</v>
      </c>
      <c r="AJ109" s="233">
        <f t="shared" si="51"/>
        <v>0</v>
      </c>
      <c r="AK109" s="234">
        <f t="shared" si="33"/>
        <v>0</v>
      </c>
      <c r="AL109" s="228">
        <f t="shared" si="58"/>
        <v>0</v>
      </c>
      <c r="AM109" s="229">
        <f t="shared" si="59"/>
        <v>0</v>
      </c>
      <c r="AN109" s="56">
        <f>'Ship Data Metric'!E110*0.03280839895</f>
        <v>0</v>
      </c>
    </row>
    <row r="110" ht="15.75" customHeight="1">
      <c r="A110" s="51"/>
      <c r="B110" s="195" t="s">
        <v>315</v>
      </c>
      <c r="C110" s="189">
        <f t="shared" si="60"/>
        <v>1.964501312</v>
      </c>
      <c r="D110" s="120">
        <f t="shared" si="10"/>
        <v>0.6253187269</v>
      </c>
      <c r="E110" s="249">
        <f t="shared" si="11"/>
        <v>49.89833333</v>
      </c>
      <c r="F110" s="244">
        <f t="shared" si="12"/>
        <v>15.88309566</v>
      </c>
      <c r="G110" s="123">
        <f>C110/Introduction!$I$20</f>
        <v>0.02046355534</v>
      </c>
      <c r="H110" s="141">
        <f t="shared" si="13"/>
        <v>0.006513736738</v>
      </c>
      <c r="I110" s="124">
        <f>E110/Introduction!$I$20</f>
        <v>0.5197743056</v>
      </c>
      <c r="J110" s="247">
        <f t="shared" si="14"/>
        <v>0.1654489132</v>
      </c>
      <c r="K110" s="51"/>
      <c r="L110" s="51"/>
      <c r="M110" s="51"/>
      <c r="N110" s="51"/>
      <c r="O110" s="51"/>
      <c r="P110" s="51"/>
      <c r="Q110" s="51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75"/>
      <c r="AC110" s="76" t="s">
        <v>27</v>
      </c>
      <c r="AD110" s="56">
        <f>IF('Ship Data Imperial'!E111&gt;0,'Ship Data Imperial'!E111,Standing!AN110)</f>
        <v>0</v>
      </c>
      <c r="AE110" s="230">
        <f t="shared" si="23"/>
        <v>0</v>
      </c>
      <c r="AF110" s="47">
        <f t="shared" si="50"/>
        <v>0</v>
      </c>
      <c r="AG110" s="231">
        <f t="shared" si="56"/>
        <v>0</v>
      </c>
      <c r="AH110" s="232">
        <f t="shared" si="24"/>
        <v>0</v>
      </c>
      <c r="AI110" s="230">
        <f t="shared" si="57"/>
        <v>0</v>
      </c>
      <c r="AJ110" s="233">
        <f t="shared" si="51"/>
        <v>0</v>
      </c>
      <c r="AK110" s="234">
        <f t="shared" si="33"/>
        <v>0</v>
      </c>
      <c r="AL110" s="228">
        <f t="shared" si="58"/>
        <v>0</v>
      </c>
      <c r="AM110" s="229">
        <f t="shared" si="59"/>
        <v>0</v>
      </c>
      <c r="AN110" s="56">
        <f>'Ship Data Metric'!E111*0.03280839895</f>
        <v>0</v>
      </c>
    </row>
    <row r="111" ht="15.75" customHeight="1">
      <c r="A111" s="51"/>
      <c r="B111" s="195" t="s">
        <v>316</v>
      </c>
      <c r="C111" s="189">
        <f>C98*0.7</f>
        <v>1.815199213</v>
      </c>
      <c r="D111" s="120">
        <f t="shared" si="10"/>
        <v>0.5777945036</v>
      </c>
      <c r="E111" s="249">
        <f t="shared" si="11"/>
        <v>46.10606</v>
      </c>
      <c r="F111" s="244">
        <f t="shared" si="12"/>
        <v>14.67598039</v>
      </c>
      <c r="G111" s="123">
        <f>C111/Introduction!$I$20</f>
        <v>0.01890832513</v>
      </c>
      <c r="H111" s="141">
        <f t="shared" si="13"/>
        <v>0.006018692746</v>
      </c>
      <c r="I111" s="124">
        <f>E111/Introduction!$I$20</f>
        <v>0.4802714583</v>
      </c>
      <c r="J111" s="247">
        <f t="shared" si="14"/>
        <v>0.1528747958</v>
      </c>
      <c r="K111" s="51"/>
      <c r="L111" s="51"/>
      <c r="M111" s="51"/>
      <c r="N111" s="51"/>
      <c r="O111" s="51"/>
      <c r="P111" s="51"/>
      <c r="Q111" s="51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75"/>
      <c r="AC111" s="76" t="s">
        <v>28</v>
      </c>
      <c r="AD111" s="56">
        <f>IF('Ship Data Imperial'!E112&gt;0,'Ship Data Imperial'!E112,Standing!AN111)</f>
        <v>0</v>
      </c>
      <c r="AE111" s="230">
        <f t="shared" si="23"/>
        <v>0</v>
      </c>
      <c r="AF111" s="47">
        <f t="shared" si="50"/>
        <v>0</v>
      </c>
      <c r="AG111" s="231">
        <f t="shared" si="56"/>
        <v>0</v>
      </c>
      <c r="AH111" s="232">
        <f t="shared" si="24"/>
        <v>0</v>
      </c>
      <c r="AI111" s="230">
        <f t="shared" si="57"/>
        <v>0</v>
      </c>
      <c r="AJ111" s="233">
        <f t="shared" si="51"/>
        <v>0</v>
      </c>
      <c r="AK111" s="234">
        <f t="shared" si="33"/>
        <v>0</v>
      </c>
      <c r="AL111" s="228">
        <f t="shared" si="58"/>
        <v>0</v>
      </c>
      <c r="AM111" s="229">
        <f t="shared" si="59"/>
        <v>0</v>
      </c>
      <c r="AN111" s="56">
        <f>'Ship Data Metric'!E112*0.03280839895</f>
        <v>0</v>
      </c>
    </row>
    <row r="112" ht="15.75" customHeight="1">
      <c r="A112" s="51"/>
      <c r="B112" s="195" t="s">
        <v>317</v>
      </c>
      <c r="C112" s="189">
        <f>C98*0.45</f>
        <v>1.16691378</v>
      </c>
      <c r="D112" s="120">
        <f t="shared" si="10"/>
        <v>0.3714393238</v>
      </c>
      <c r="E112" s="249">
        <f t="shared" si="11"/>
        <v>29.63961</v>
      </c>
      <c r="F112" s="244">
        <f t="shared" si="12"/>
        <v>9.434558823</v>
      </c>
      <c r="G112" s="123">
        <f>C112/Introduction!$I$20</f>
        <v>0.01215535187</v>
      </c>
      <c r="H112" s="141">
        <f t="shared" si="13"/>
        <v>0.003869159622</v>
      </c>
      <c r="I112" s="124">
        <f>E112/Introduction!$I$20</f>
        <v>0.3087459375</v>
      </c>
      <c r="J112" s="247">
        <f t="shared" si="14"/>
        <v>0.09827665441</v>
      </c>
      <c r="K112" s="51"/>
      <c r="L112" s="51"/>
      <c r="M112" s="51"/>
      <c r="N112" s="51"/>
      <c r="O112" s="51"/>
      <c r="P112" s="51"/>
      <c r="Q112" s="51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75"/>
      <c r="AC112" s="76" t="s">
        <v>29</v>
      </c>
      <c r="AD112" s="56">
        <f>IF('Ship Data Imperial'!E113&gt;0,'Ship Data Imperial'!E113,Standing!AN112)</f>
        <v>0</v>
      </c>
      <c r="AE112" s="230">
        <f t="shared" si="23"/>
        <v>0</v>
      </c>
      <c r="AF112" s="47">
        <f t="shared" si="50"/>
        <v>0</v>
      </c>
      <c r="AG112" s="231">
        <f t="shared" si="56"/>
        <v>0</v>
      </c>
      <c r="AH112" s="232">
        <f t="shared" si="24"/>
        <v>0</v>
      </c>
      <c r="AI112" s="230">
        <f t="shared" si="57"/>
        <v>0</v>
      </c>
      <c r="AJ112" s="233">
        <f t="shared" si="51"/>
        <v>0</v>
      </c>
      <c r="AK112" s="234">
        <f t="shared" si="33"/>
        <v>0</v>
      </c>
      <c r="AL112" s="228">
        <f t="shared" si="58"/>
        <v>0</v>
      </c>
      <c r="AM112" s="229">
        <f t="shared" si="59"/>
        <v>0</v>
      </c>
      <c r="AN112" s="56">
        <f>'Ship Data Metric'!E113*0.03280839895</f>
        <v>0</v>
      </c>
    </row>
    <row r="113" ht="15.75" customHeight="1">
      <c r="A113" s="51"/>
      <c r="B113" s="195" t="s">
        <v>318</v>
      </c>
      <c r="C113" s="189">
        <f t="shared" ref="C113:C114" si="61">C111</f>
        <v>1.815199213</v>
      </c>
      <c r="D113" s="120">
        <f t="shared" si="10"/>
        <v>0.5777945036</v>
      </c>
      <c r="E113" s="249">
        <f t="shared" si="11"/>
        <v>46.10606</v>
      </c>
      <c r="F113" s="244">
        <f t="shared" si="12"/>
        <v>14.67598039</v>
      </c>
      <c r="G113" s="123">
        <f>C113/Introduction!$I$20</f>
        <v>0.01890832513</v>
      </c>
      <c r="H113" s="141">
        <f t="shared" si="13"/>
        <v>0.006018692746</v>
      </c>
      <c r="I113" s="124">
        <f>E113/Introduction!$I$20</f>
        <v>0.4802714583</v>
      </c>
      <c r="J113" s="247">
        <f t="shared" si="14"/>
        <v>0.1528747958</v>
      </c>
      <c r="K113" s="51"/>
      <c r="L113" s="51"/>
      <c r="M113" s="51"/>
      <c r="N113" s="51"/>
      <c r="O113" s="51"/>
      <c r="P113" s="51"/>
      <c r="Q113" s="51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75"/>
      <c r="AC113" s="158" t="s">
        <v>56</v>
      </c>
      <c r="AD113" s="56">
        <f>IF('Ship Data Imperial'!E114&gt;0,'Ship Data Imperial'!E114,Standing!AN113)</f>
        <v>0</v>
      </c>
      <c r="AE113" s="230">
        <f t="shared" si="23"/>
        <v>0</v>
      </c>
      <c r="AF113" s="47">
        <f t="shared" si="50"/>
        <v>0</v>
      </c>
      <c r="AG113" s="231">
        <f t="shared" si="56"/>
        <v>0</v>
      </c>
      <c r="AH113" s="232">
        <f t="shared" si="24"/>
        <v>0</v>
      </c>
      <c r="AI113" s="230">
        <f t="shared" si="57"/>
        <v>0</v>
      </c>
      <c r="AJ113" s="233">
        <f t="shared" si="51"/>
        <v>0</v>
      </c>
      <c r="AK113" s="234">
        <f t="shared" si="33"/>
        <v>0</v>
      </c>
      <c r="AL113" s="228">
        <f>IF(AD113&gt;0,$C$49*0.66,0)</f>
        <v>0</v>
      </c>
      <c r="AM113" s="229">
        <f t="shared" si="59"/>
        <v>0</v>
      </c>
      <c r="AN113" s="56">
        <f>'Ship Data Metric'!E114*0.03280839895</f>
        <v>0</v>
      </c>
    </row>
    <row r="114" ht="15.75" customHeight="1">
      <c r="A114" s="51"/>
      <c r="B114" s="195" t="s">
        <v>319</v>
      </c>
      <c r="C114" s="189">
        <f t="shared" si="61"/>
        <v>1.16691378</v>
      </c>
      <c r="D114" s="120">
        <f t="shared" si="10"/>
        <v>0.3714393238</v>
      </c>
      <c r="E114" s="249">
        <f t="shared" si="11"/>
        <v>29.63961</v>
      </c>
      <c r="F114" s="244">
        <f t="shared" si="12"/>
        <v>9.434558823</v>
      </c>
      <c r="G114" s="123">
        <f>C114/Introduction!$I$20</f>
        <v>0.01215535187</v>
      </c>
      <c r="H114" s="141">
        <f t="shared" si="13"/>
        <v>0.003869159622</v>
      </c>
      <c r="I114" s="124">
        <f>E114/Introduction!$I$20</f>
        <v>0.3087459375</v>
      </c>
      <c r="J114" s="247">
        <f t="shared" si="14"/>
        <v>0.09827665441</v>
      </c>
      <c r="K114" s="51"/>
      <c r="L114" s="51"/>
      <c r="M114" s="51"/>
      <c r="N114" s="51"/>
      <c r="O114" s="51"/>
      <c r="P114" s="51"/>
      <c r="Q114" s="51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75" t="s">
        <v>53</v>
      </c>
      <c r="AC114" s="76" t="s">
        <v>24</v>
      </c>
      <c r="AD114" s="56">
        <f>IF('Ship Data Imperial'!E115&gt;0,'Ship Data Imperial'!E115,Standing!AN114)</f>
        <v>0</v>
      </c>
      <c r="AE114" s="230">
        <f t="shared" si="23"/>
        <v>0</v>
      </c>
      <c r="AF114" s="47">
        <f t="shared" si="50"/>
        <v>0</v>
      </c>
      <c r="AG114" s="231">
        <f t="shared" si="56"/>
        <v>0</v>
      </c>
      <c r="AH114" s="232">
        <f t="shared" si="24"/>
        <v>0</v>
      </c>
      <c r="AI114" s="230">
        <f t="shared" si="57"/>
        <v>0</v>
      </c>
      <c r="AJ114" s="233">
        <f t="shared" si="51"/>
        <v>0</v>
      </c>
      <c r="AK114" s="234">
        <f t="shared" si="33"/>
        <v>0</v>
      </c>
      <c r="AL114" s="228">
        <f t="shared" ref="AL114:AL115" si="62">IF(AD114&gt;0,$C$49*0.8,0)</f>
        <v>0</v>
      </c>
      <c r="AM114" s="229">
        <f t="shared" ref="AM114:AM115" si="63">IF(AD114&gt;0,3.25,0)</f>
        <v>0</v>
      </c>
      <c r="AN114" s="56">
        <f>'Ship Data Metric'!E115*0.03280839895</f>
        <v>0</v>
      </c>
    </row>
    <row r="115" ht="15.75" customHeight="1">
      <c r="A115" s="51"/>
      <c r="B115" s="195" t="s">
        <v>320</v>
      </c>
      <c r="C115" s="189">
        <f>C103</f>
        <v>2</v>
      </c>
      <c r="D115" s="120">
        <f t="shared" si="10"/>
        <v>0.6366182837</v>
      </c>
      <c r="E115" s="249">
        <f t="shared" si="11"/>
        <v>50.8</v>
      </c>
      <c r="F115" s="244">
        <f t="shared" si="12"/>
        <v>16.17010441</v>
      </c>
      <c r="G115" s="123">
        <f>C115/Introduction!$I$20</f>
        <v>0.02083333333</v>
      </c>
      <c r="H115" s="141">
        <f t="shared" si="13"/>
        <v>0.006631440455</v>
      </c>
      <c r="I115" s="124">
        <f>E115/Introduction!$I$20</f>
        <v>0.5291666667</v>
      </c>
      <c r="J115" s="247">
        <f t="shared" si="14"/>
        <v>0.1684385876</v>
      </c>
      <c r="K115" s="51"/>
      <c r="L115" s="51"/>
      <c r="M115" s="51"/>
      <c r="N115" s="51"/>
      <c r="O115" s="51"/>
      <c r="P115" s="51"/>
      <c r="Q115" s="51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75"/>
      <c r="AC115" s="76" t="s">
        <v>25</v>
      </c>
      <c r="AD115" s="56">
        <f>IF('Ship Data Imperial'!E116&gt;0,'Ship Data Imperial'!E116,Standing!AN115)</f>
        <v>0</v>
      </c>
      <c r="AE115" s="230">
        <f t="shared" si="23"/>
        <v>0</v>
      </c>
      <c r="AF115" s="47">
        <f t="shared" si="50"/>
        <v>0</v>
      </c>
      <c r="AG115" s="231">
        <f t="shared" si="56"/>
        <v>0</v>
      </c>
      <c r="AH115" s="232">
        <f t="shared" si="24"/>
        <v>0</v>
      </c>
      <c r="AI115" s="230">
        <f t="shared" si="57"/>
        <v>0</v>
      </c>
      <c r="AJ115" s="233">
        <f t="shared" si="51"/>
        <v>0</v>
      </c>
      <c r="AK115" s="234">
        <f t="shared" si="33"/>
        <v>0</v>
      </c>
      <c r="AL115" s="228">
        <f t="shared" si="62"/>
        <v>0</v>
      </c>
      <c r="AM115" s="229">
        <f t="shared" si="63"/>
        <v>0</v>
      </c>
      <c r="AN115" s="56">
        <f>'Ship Data Metric'!E116*0.03280839895</f>
        <v>0</v>
      </c>
    </row>
    <row r="116" ht="15.75" customHeight="1">
      <c r="A116" s="51"/>
      <c r="B116" s="195" t="s">
        <v>321</v>
      </c>
      <c r="C116" s="197">
        <f>C103/2</f>
        <v>1</v>
      </c>
      <c r="D116" s="120">
        <f t="shared" si="10"/>
        <v>0.3183091418</v>
      </c>
      <c r="E116" s="249">
        <f t="shared" si="11"/>
        <v>25.4</v>
      </c>
      <c r="F116" s="244">
        <f t="shared" si="12"/>
        <v>8.085052203</v>
      </c>
      <c r="G116" s="123">
        <f>C116/Introduction!$I$20</f>
        <v>0.01041666667</v>
      </c>
      <c r="H116" s="141">
        <f t="shared" si="13"/>
        <v>0.003315720227</v>
      </c>
      <c r="I116" s="124">
        <f>E116/Introduction!$I$20</f>
        <v>0.2645833333</v>
      </c>
      <c r="J116" s="247">
        <f t="shared" si="14"/>
        <v>0.08421929378</v>
      </c>
      <c r="K116" s="51"/>
      <c r="L116" s="51"/>
      <c r="M116" s="51"/>
      <c r="N116" s="51"/>
      <c r="O116" s="51"/>
      <c r="P116" s="51"/>
      <c r="Q116" s="51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75"/>
      <c r="AC116" s="76" t="s">
        <v>26</v>
      </c>
      <c r="AD116" s="56">
        <f>IF('Ship Data Imperial'!E117&gt;0,'Ship Data Imperial'!E117,Standing!AN116)</f>
        <v>0</v>
      </c>
      <c r="AE116" s="230">
        <f t="shared" si="23"/>
        <v>0</v>
      </c>
      <c r="AF116" s="47">
        <f t="shared" si="50"/>
        <v>0</v>
      </c>
      <c r="AG116" s="231">
        <f t="shared" si="56"/>
        <v>0</v>
      </c>
      <c r="AH116" s="232">
        <f t="shared" si="24"/>
        <v>0</v>
      </c>
      <c r="AI116" s="230">
        <f t="shared" si="57"/>
        <v>0</v>
      </c>
      <c r="AJ116" s="233">
        <f t="shared" si="51"/>
        <v>0</v>
      </c>
      <c r="AK116" s="234">
        <f t="shared" si="33"/>
        <v>0</v>
      </c>
      <c r="AL116" s="228">
        <f t="shared" ref="AL116:AL135" si="64">IF(AD116&gt;0,$C$49*0.66,0)</f>
        <v>0</v>
      </c>
      <c r="AM116" s="229">
        <f t="shared" ref="AM116:AM135" si="65">IF(AD116&gt;0,3,0)</f>
        <v>0</v>
      </c>
      <c r="AN116" s="56">
        <f>'Ship Data Metric'!E117*0.03280839895</f>
        <v>0</v>
      </c>
    </row>
    <row r="117" ht="15.75" customHeight="1">
      <c r="A117" s="51"/>
      <c r="B117" s="196" t="s">
        <v>322</v>
      </c>
      <c r="C117" s="197">
        <f>C86</f>
        <v>2</v>
      </c>
      <c r="D117" s="120">
        <f t="shared" si="10"/>
        <v>0.6366182837</v>
      </c>
      <c r="E117" s="249">
        <f t="shared" si="11"/>
        <v>50.8</v>
      </c>
      <c r="F117" s="244">
        <f t="shared" si="12"/>
        <v>16.17010441</v>
      </c>
      <c r="G117" s="123">
        <f>C117/Introduction!$I$20</f>
        <v>0.02083333333</v>
      </c>
      <c r="H117" s="141">
        <f t="shared" si="13"/>
        <v>0.006631440455</v>
      </c>
      <c r="I117" s="124">
        <f>E117/Introduction!$I$20</f>
        <v>0.5291666667</v>
      </c>
      <c r="J117" s="247">
        <f t="shared" si="14"/>
        <v>0.1684385876</v>
      </c>
      <c r="K117" s="51"/>
      <c r="L117" s="51"/>
      <c r="M117" s="51"/>
      <c r="N117" s="51"/>
      <c r="O117" s="51"/>
      <c r="P117" s="51"/>
      <c r="Q117" s="51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75"/>
      <c r="AC117" s="76" t="s">
        <v>27</v>
      </c>
      <c r="AD117" s="56">
        <f>IF('Ship Data Imperial'!E118&gt;0,'Ship Data Imperial'!E118,Standing!AN117)</f>
        <v>0</v>
      </c>
      <c r="AE117" s="230">
        <f t="shared" si="23"/>
        <v>0</v>
      </c>
      <c r="AF117" s="47">
        <f t="shared" si="50"/>
        <v>0</v>
      </c>
      <c r="AG117" s="231">
        <f t="shared" si="56"/>
        <v>0</v>
      </c>
      <c r="AH117" s="232">
        <f t="shared" si="24"/>
        <v>0</v>
      </c>
      <c r="AI117" s="230">
        <f t="shared" si="57"/>
        <v>0</v>
      </c>
      <c r="AJ117" s="233">
        <f t="shared" si="51"/>
        <v>0</v>
      </c>
      <c r="AK117" s="234">
        <f t="shared" si="33"/>
        <v>0</v>
      </c>
      <c r="AL117" s="228">
        <f t="shared" si="64"/>
        <v>0</v>
      </c>
      <c r="AM117" s="229">
        <f t="shared" si="65"/>
        <v>0</v>
      </c>
      <c r="AN117" s="56">
        <f>'Ship Data Metric'!E118*0.03280839895</f>
        <v>0</v>
      </c>
    </row>
    <row r="118" ht="15.75" customHeight="1">
      <c r="A118" s="51"/>
      <c r="B118" s="196" t="s">
        <v>323</v>
      </c>
      <c r="C118" s="197">
        <f>C86/2</f>
        <v>1</v>
      </c>
      <c r="D118" s="120">
        <f t="shared" si="10"/>
        <v>0.3183091418</v>
      </c>
      <c r="E118" s="249">
        <f t="shared" si="11"/>
        <v>25.4</v>
      </c>
      <c r="F118" s="244">
        <f t="shared" si="12"/>
        <v>8.085052203</v>
      </c>
      <c r="G118" s="123">
        <f>C118/Introduction!$I$20</f>
        <v>0.01041666667</v>
      </c>
      <c r="H118" s="141">
        <f t="shared" si="13"/>
        <v>0.003315720227</v>
      </c>
      <c r="I118" s="124">
        <f>E118/Introduction!$I$20</f>
        <v>0.2645833333</v>
      </c>
      <c r="J118" s="247">
        <f t="shared" si="14"/>
        <v>0.08421929378</v>
      </c>
      <c r="K118" s="51"/>
      <c r="L118" s="51"/>
      <c r="M118" s="51"/>
      <c r="N118" s="51"/>
      <c r="O118" s="51"/>
      <c r="P118" s="51"/>
      <c r="Q118" s="51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75"/>
      <c r="AC118" s="76" t="s">
        <v>28</v>
      </c>
      <c r="AD118" s="56">
        <f>IF('Ship Data Imperial'!E119&gt;0,'Ship Data Imperial'!E119,Standing!AN118)</f>
        <v>0</v>
      </c>
      <c r="AE118" s="230">
        <f t="shared" si="23"/>
        <v>0</v>
      </c>
      <c r="AF118" s="47">
        <f t="shared" si="50"/>
        <v>0</v>
      </c>
      <c r="AG118" s="231">
        <f t="shared" si="56"/>
        <v>0</v>
      </c>
      <c r="AH118" s="232">
        <f t="shared" si="24"/>
        <v>0</v>
      </c>
      <c r="AI118" s="230">
        <f t="shared" si="57"/>
        <v>0</v>
      </c>
      <c r="AJ118" s="233">
        <f t="shared" si="51"/>
        <v>0</v>
      </c>
      <c r="AK118" s="234">
        <f t="shared" si="33"/>
        <v>0</v>
      </c>
      <c r="AL118" s="228">
        <f t="shared" si="64"/>
        <v>0</v>
      </c>
      <c r="AM118" s="229">
        <f t="shared" si="65"/>
        <v>0</v>
      </c>
      <c r="AN118" s="56">
        <f>'Ship Data Metric'!E119*0.03280839895</f>
        <v>0</v>
      </c>
    </row>
    <row r="119" ht="15.75" customHeight="1">
      <c r="A119" s="51"/>
      <c r="B119" s="196" t="s">
        <v>324</v>
      </c>
      <c r="C119" s="197">
        <f>C81</f>
        <v>3.274168854</v>
      </c>
      <c r="D119" s="120">
        <f t="shared" si="10"/>
        <v>1.042197878</v>
      </c>
      <c r="E119" s="249">
        <f t="shared" si="11"/>
        <v>83.16388889</v>
      </c>
      <c r="F119" s="244">
        <f t="shared" si="12"/>
        <v>26.4718261</v>
      </c>
      <c r="G119" s="123">
        <f>C119/Introduction!$I$20</f>
        <v>0.03410592556</v>
      </c>
      <c r="H119" s="141">
        <f t="shared" si="13"/>
        <v>0.0108562279</v>
      </c>
      <c r="I119" s="124">
        <f>E119/Introduction!$I$20</f>
        <v>0.8662905093</v>
      </c>
      <c r="J119" s="247">
        <f t="shared" si="14"/>
        <v>0.2757481886</v>
      </c>
      <c r="K119" s="51"/>
      <c r="L119" s="51"/>
      <c r="M119" s="51"/>
      <c r="N119" s="51"/>
      <c r="O119" s="51"/>
      <c r="P119" s="51"/>
      <c r="Q119" s="51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75"/>
      <c r="AC119" s="76" t="s">
        <v>29</v>
      </c>
      <c r="AD119" s="56">
        <f>IF('Ship Data Imperial'!E120&gt;0,'Ship Data Imperial'!E120,Standing!AN119)</f>
        <v>0</v>
      </c>
      <c r="AE119" s="230">
        <f t="shared" si="23"/>
        <v>0</v>
      </c>
      <c r="AF119" s="47">
        <f t="shared" si="50"/>
        <v>0</v>
      </c>
      <c r="AG119" s="231">
        <f t="shared" si="56"/>
        <v>0</v>
      </c>
      <c r="AH119" s="232">
        <f t="shared" si="24"/>
        <v>0</v>
      </c>
      <c r="AI119" s="230">
        <f t="shared" si="57"/>
        <v>0</v>
      </c>
      <c r="AJ119" s="233">
        <f t="shared" si="51"/>
        <v>0</v>
      </c>
      <c r="AK119" s="234">
        <f t="shared" si="33"/>
        <v>0</v>
      </c>
      <c r="AL119" s="228">
        <f t="shared" si="64"/>
        <v>0</v>
      </c>
      <c r="AM119" s="229">
        <f t="shared" si="65"/>
        <v>0</v>
      </c>
      <c r="AN119" s="56">
        <f>'Ship Data Metric'!E120*0.03280839895</f>
        <v>0</v>
      </c>
    </row>
    <row r="120" ht="15.75" customHeight="1">
      <c r="A120" s="51"/>
      <c r="B120" s="196" t="s">
        <v>325</v>
      </c>
      <c r="C120" s="197">
        <f>C119/2</f>
        <v>1.637084427</v>
      </c>
      <c r="D120" s="120">
        <f t="shared" si="10"/>
        <v>0.5210989391</v>
      </c>
      <c r="E120" s="249">
        <f t="shared" si="11"/>
        <v>41.58194444</v>
      </c>
      <c r="F120" s="244">
        <f t="shared" si="12"/>
        <v>13.23591305</v>
      </c>
      <c r="G120" s="123">
        <f>C120/Introduction!$I$20</f>
        <v>0.01705296278</v>
      </c>
      <c r="H120" s="141">
        <f t="shared" si="13"/>
        <v>0.005428113949</v>
      </c>
      <c r="I120" s="124">
        <f>E120/Introduction!$I$20</f>
        <v>0.4331452546</v>
      </c>
      <c r="J120" s="247">
        <f t="shared" si="14"/>
        <v>0.1378740943</v>
      </c>
      <c r="K120" s="51"/>
      <c r="L120" s="51"/>
      <c r="M120" s="51"/>
      <c r="N120" s="51"/>
      <c r="O120" s="51"/>
      <c r="P120" s="51"/>
      <c r="Q120" s="51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75"/>
      <c r="AC120" s="158" t="s">
        <v>54</v>
      </c>
      <c r="AD120" s="56">
        <f>IF('Ship Data Imperial'!E121&gt;0,'Ship Data Imperial'!E121,Standing!AN120)</f>
        <v>0</v>
      </c>
      <c r="AE120" s="230">
        <f t="shared" si="23"/>
        <v>0</v>
      </c>
      <c r="AF120" s="47">
        <f t="shared" si="50"/>
        <v>0</v>
      </c>
      <c r="AG120" s="231">
        <f t="shared" si="56"/>
        <v>0</v>
      </c>
      <c r="AH120" s="232">
        <f t="shared" si="24"/>
        <v>0</v>
      </c>
      <c r="AI120" s="230">
        <f t="shared" si="57"/>
        <v>0</v>
      </c>
      <c r="AJ120" s="233">
        <f t="shared" si="51"/>
        <v>0</v>
      </c>
      <c r="AK120" s="234">
        <f t="shared" si="33"/>
        <v>0</v>
      </c>
      <c r="AL120" s="228">
        <f t="shared" si="64"/>
        <v>0</v>
      </c>
      <c r="AM120" s="229">
        <f t="shared" si="65"/>
        <v>0</v>
      </c>
      <c r="AN120" s="56">
        <f>'Ship Data Metric'!E121*0.03280839895</f>
        <v>0</v>
      </c>
    </row>
    <row r="121" ht="15.75" customHeight="1">
      <c r="A121" s="51"/>
      <c r="B121" s="196" t="s">
        <v>326</v>
      </c>
      <c r="C121" s="119">
        <f>$C$75*0.2</f>
        <v>1.309667542</v>
      </c>
      <c r="D121" s="120">
        <f t="shared" si="10"/>
        <v>0.4168791512</v>
      </c>
      <c r="E121" s="249">
        <f t="shared" si="11"/>
        <v>33.26555556</v>
      </c>
      <c r="F121" s="244">
        <f t="shared" si="12"/>
        <v>10.58873044</v>
      </c>
      <c r="G121" s="123">
        <f>C121/Introduction!$I$20</f>
        <v>0.01364237022</v>
      </c>
      <c r="H121" s="141">
        <f t="shared" si="13"/>
        <v>0.004342491159</v>
      </c>
      <c r="I121" s="124">
        <f>E121/Introduction!$I$20</f>
        <v>0.3465162037</v>
      </c>
      <c r="J121" s="247">
        <f t="shared" si="14"/>
        <v>0.1102992754</v>
      </c>
      <c r="K121" s="51"/>
      <c r="L121" s="51"/>
      <c r="M121" s="51"/>
      <c r="N121" s="51"/>
      <c r="O121" s="51"/>
      <c r="P121" s="51"/>
      <c r="Q121" s="51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75" t="s">
        <v>115</v>
      </c>
      <c r="AC121" s="158" t="s">
        <v>56</v>
      </c>
      <c r="AD121" s="56">
        <f>IF('Ship Data Imperial'!E122&gt;0,'Ship Data Imperial'!E122,Standing!AN121)</f>
        <v>0</v>
      </c>
      <c r="AE121" s="230">
        <f t="shared" si="23"/>
        <v>0</v>
      </c>
      <c r="AF121" s="47">
        <f t="shared" si="50"/>
        <v>0</v>
      </c>
      <c r="AG121" s="231">
        <f t="shared" si="56"/>
        <v>0</v>
      </c>
      <c r="AH121" s="232">
        <f t="shared" si="24"/>
        <v>0</v>
      </c>
      <c r="AI121" s="230">
        <f t="shared" si="57"/>
        <v>0</v>
      </c>
      <c r="AJ121" s="233">
        <f t="shared" si="51"/>
        <v>0</v>
      </c>
      <c r="AK121" s="234">
        <f t="shared" si="33"/>
        <v>0</v>
      </c>
      <c r="AL121" s="228">
        <f t="shared" si="64"/>
        <v>0</v>
      </c>
      <c r="AM121" s="229">
        <f t="shared" si="65"/>
        <v>0</v>
      </c>
      <c r="AN121" s="56">
        <f>'Ship Data Metric'!E122*0.03280839895</f>
        <v>0</v>
      </c>
    </row>
    <row r="122" ht="15.75" customHeight="1">
      <c r="A122" s="51"/>
      <c r="B122" s="195" t="s">
        <v>327</v>
      </c>
      <c r="C122" s="119">
        <v>1.5</v>
      </c>
      <c r="D122" s="120">
        <f t="shared" si="10"/>
        <v>0.4774637128</v>
      </c>
      <c r="E122" s="249">
        <f t="shared" si="11"/>
        <v>38.1</v>
      </c>
      <c r="F122" s="244">
        <f t="shared" si="12"/>
        <v>12.1275783</v>
      </c>
      <c r="G122" s="123">
        <f>C122/Introduction!$I$20</f>
        <v>0.015625</v>
      </c>
      <c r="H122" s="141">
        <f t="shared" si="13"/>
        <v>0.004973580341</v>
      </c>
      <c r="I122" s="124">
        <f>E122/Introduction!$I$20</f>
        <v>0.396875</v>
      </c>
      <c r="J122" s="247">
        <f t="shared" si="14"/>
        <v>0.1263289407</v>
      </c>
      <c r="K122" s="51"/>
      <c r="L122" s="51"/>
      <c r="M122" s="51"/>
      <c r="N122" s="51"/>
      <c r="O122" s="51"/>
      <c r="P122" s="51"/>
      <c r="Q122" s="51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75" t="s">
        <v>57</v>
      </c>
      <c r="AC122" s="76" t="s">
        <v>24</v>
      </c>
      <c r="AD122" s="56">
        <f>IF('Ship Data Imperial'!E123&gt;0,'Ship Data Imperial'!E123,Standing!AN122)</f>
        <v>0</v>
      </c>
      <c r="AE122" s="230">
        <f t="shared" si="23"/>
        <v>0</v>
      </c>
      <c r="AF122" s="47">
        <f t="shared" si="50"/>
        <v>0</v>
      </c>
      <c r="AG122" s="231">
        <f t="shared" si="56"/>
        <v>0</v>
      </c>
      <c r="AH122" s="232">
        <f t="shared" si="24"/>
        <v>0</v>
      </c>
      <c r="AI122" s="230">
        <f t="shared" si="57"/>
        <v>0</v>
      </c>
      <c r="AJ122" s="233">
        <f t="shared" si="51"/>
        <v>0</v>
      </c>
      <c r="AK122" s="234">
        <f t="shared" si="33"/>
        <v>0</v>
      </c>
      <c r="AL122" s="228">
        <f t="shared" si="64"/>
        <v>0</v>
      </c>
      <c r="AM122" s="229">
        <f t="shared" si="65"/>
        <v>0</v>
      </c>
      <c r="AN122" s="56">
        <f>'Ship Data Metric'!E123*0.03280839895</f>
        <v>0</v>
      </c>
    </row>
    <row r="123" ht="15.75" customHeight="1">
      <c r="A123" s="51"/>
      <c r="B123" s="257" t="s">
        <v>328</v>
      </c>
      <c r="C123" s="185">
        <v>1.5</v>
      </c>
      <c r="D123" s="128">
        <f t="shared" si="10"/>
        <v>0.4774637128</v>
      </c>
      <c r="E123" s="129">
        <f t="shared" si="11"/>
        <v>38.1</v>
      </c>
      <c r="F123" s="130">
        <f t="shared" si="12"/>
        <v>12.1275783</v>
      </c>
      <c r="G123" s="131">
        <f>C123/Introduction!$I$20</f>
        <v>0.015625</v>
      </c>
      <c r="H123" s="187">
        <f t="shared" si="13"/>
        <v>0.004973580341</v>
      </c>
      <c r="I123" s="133">
        <f>E123/Introduction!$I$20</f>
        <v>0.396875</v>
      </c>
      <c r="J123" s="135">
        <f t="shared" si="14"/>
        <v>0.1263289407</v>
      </c>
      <c r="K123" s="51"/>
      <c r="L123" s="51"/>
      <c r="M123" s="51"/>
      <c r="N123" s="51"/>
      <c r="O123" s="51"/>
      <c r="P123" s="51"/>
      <c r="Q123" s="51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75"/>
      <c r="AC123" s="76" t="s">
        <v>25</v>
      </c>
      <c r="AD123" s="56">
        <f>IF('Ship Data Imperial'!E124&gt;0,'Ship Data Imperial'!E124,Standing!AN123)</f>
        <v>0</v>
      </c>
      <c r="AE123" s="230">
        <f t="shared" si="23"/>
        <v>0</v>
      </c>
      <c r="AF123" s="47">
        <f t="shared" si="50"/>
        <v>0</v>
      </c>
      <c r="AG123" s="231">
        <f t="shared" si="56"/>
        <v>0</v>
      </c>
      <c r="AH123" s="232">
        <f t="shared" si="24"/>
        <v>0</v>
      </c>
      <c r="AI123" s="230">
        <f t="shared" si="57"/>
        <v>0</v>
      </c>
      <c r="AJ123" s="233">
        <f t="shared" si="51"/>
        <v>0</v>
      </c>
      <c r="AK123" s="234">
        <f t="shared" si="33"/>
        <v>0</v>
      </c>
      <c r="AL123" s="228">
        <f t="shared" si="64"/>
        <v>0</v>
      </c>
      <c r="AM123" s="229">
        <f t="shared" si="65"/>
        <v>0</v>
      </c>
      <c r="AN123" s="56">
        <f>'Ship Data Metric'!E124*0.03280839895</f>
        <v>0</v>
      </c>
    </row>
    <row r="124" ht="15.75" customHeight="1">
      <c r="A124" s="51"/>
      <c r="B124" s="259" t="s">
        <v>329</v>
      </c>
      <c r="C124" s="109">
        <f>C126*0.66</f>
        <v>2.446629224</v>
      </c>
      <c r="D124" s="110">
        <f t="shared" si="10"/>
        <v>0.7787844488</v>
      </c>
      <c r="E124" s="111">
        <f t="shared" si="11"/>
        <v>62.1443823</v>
      </c>
      <c r="F124" s="112">
        <f t="shared" si="12"/>
        <v>19.781125</v>
      </c>
      <c r="G124" s="113">
        <f>C124/Introduction!$I$20</f>
        <v>0.02548572109</v>
      </c>
      <c r="H124" s="137">
        <f t="shared" si="13"/>
        <v>0.008112338008</v>
      </c>
      <c r="I124" s="115">
        <f>E124/Introduction!$I$20</f>
        <v>0.6473373156</v>
      </c>
      <c r="J124" s="142">
        <f t="shared" si="14"/>
        <v>0.2060533854</v>
      </c>
      <c r="K124" s="51"/>
      <c r="L124" s="51"/>
      <c r="M124" s="51"/>
      <c r="N124" s="51"/>
      <c r="O124" s="51"/>
      <c r="P124" s="51"/>
      <c r="Q124" s="51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75"/>
      <c r="AC124" s="76" t="s">
        <v>26</v>
      </c>
      <c r="AD124" s="56">
        <f>IF('Ship Data Imperial'!E125&gt;0,'Ship Data Imperial'!E125,Standing!AN124)</f>
        <v>0</v>
      </c>
      <c r="AE124" s="230">
        <f t="shared" si="23"/>
        <v>0</v>
      </c>
      <c r="AF124" s="47">
        <f t="shared" si="50"/>
        <v>0</v>
      </c>
      <c r="AG124" s="231">
        <f t="shared" si="56"/>
        <v>0</v>
      </c>
      <c r="AH124" s="232">
        <f t="shared" si="24"/>
        <v>0</v>
      </c>
      <c r="AI124" s="230">
        <f t="shared" si="57"/>
        <v>0</v>
      </c>
      <c r="AJ124" s="233">
        <f t="shared" si="51"/>
        <v>0</v>
      </c>
      <c r="AK124" s="234">
        <f t="shared" si="33"/>
        <v>0</v>
      </c>
      <c r="AL124" s="228">
        <f t="shared" si="64"/>
        <v>0</v>
      </c>
      <c r="AM124" s="229">
        <f t="shared" si="65"/>
        <v>0</v>
      </c>
      <c r="AN124" s="56">
        <f>'Ship Data Metric'!E125*0.03280839895</f>
        <v>0</v>
      </c>
    </row>
    <row r="125" ht="15.75" customHeight="1">
      <c r="A125" s="51"/>
      <c r="B125" s="195" t="s">
        <v>330</v>
      </c>
      <c r="C125" s="119">
        <f>C124*0.66</f>
        <v>1.614775288</v>
      </c>
      <c r="D125" s="218">
        <f t="shared" si="10"/>
        <v>0.5139977362</v>
      </c>
      <c r="E125" s="121">
        <f t="shared" si="11"/>
        <v>41.01529232</v>
      </c>
      <c r="F125" s="122">
        <f t="shared" si="12"/>
        <v>13.0555425</v>
      </c>
      <c r="G125" s="123">
        <f>C125/Introduction!$I$20</f>
        <v>0.01682057592</v>
      </c>
      <c r="H125" s="192">
        <f t="shared" si="13"/>
        <v>0.005354143086</v>
      </c>
      <c r="I125" s="124">
        <f>E125/Introduction!$I$20</f>
        <v>0.4272426283</v>
      </c>
      <c r="J125" s="125">
        <f t="shared" si="14"/>
        <v>0.1359952344</v>
      </c>
      <c r="K125" s="51"/>
      <c r="L125" s="51"/>
      <c r="M125" s="51"/>
      <c r="N125" s="51"/>
      <c r="O125" s="51"/>
      <c r="P125" s="51"/>
      <c r="Q125" s="51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75"/>
      <c r="AC125" s="76" t="s">
        <v>27</v>
      </c>
      <c r="AD125" s="56">
        <f>IF('Ship Data Imperial'!E126&gt;0,'Ship Data Imperial'!E126,Standing!AN125)</f>
        <v>0</v>
      </c>
      <c r="AE125" s="230">
        <f t="shared" si="23"/>
        <v>0</v>
      </c>
      <c r="AF125" s="47">
        <f t="shared" si="50"/>
        <v>0</v>
      </c>
      <c r="AG125" s="231">
        <f t="shared" si="56"/>
        <v>0</v>
      </c>
      <c r="AH125" s="232">
        <f t="shared" si="24"/>
        <v>0</v>
      </c>
      <c r="AI125" s="230">
        <f t="shared" si="57"/>
        <v>0</v>
      </c>
      <c r="AJ125" s="233">
        <f t="shared" si="51"/>
        <v>0</v>
      </c>
      <c r="AK125" s="234">
        <f t="shared" si="33"/>
        <v>0</v>
      </c>
      <c r="AL125" s="228">
        <f t="shared" si="64"/>
        <v>0</v>
      </c>
      <c r="AM125" s="229">
        <f t="shared" si="65"/>
        <v>0</v>
      </c>
      <c r="AN125" s="56">
        <f>'Ship Data Metric'!E126*0.03280839895</f>
        <v>0</v>
      </c>
    </row>
    <row r="126" ht="15.75" customHeight="1">
      <c r="A126" s="51"/>
      <c r="B126" s="199" t="s">
        <v>331</v>
      </c>
      <c r="C126" s="217">
        <f>Masts!D17/2</f>
        <v>3.707013976</v>
      </c>
      <c r="D126" s="218">
        <f t="shared" si="10"/>
        <v>1.179976438</v>
      </c>
      <c r="E126" s="121">
        <f t="shared" si="11"/>
        <v>94.158155</v>
      </c>
      <c r="F126" s="122">
        <f t="shared" si="12"/>
        <v>29.97140152</v>
      </c>
      <c r="G126" s="123">
        <f>C126/Introduction!$I$20</f>
        <v>0.03861472892</v>
      </c>
      <c r="H126" s="192">
        <f t="shared" si="13"/>
        <v>0.01229142122</v>
      </c>
      <c r="I126" s="124">
        <f>E126/Introduction!$I$20</f>
        <v>0.9808141146</v>
      </c>
      <c r="J126" s="125">
        <f t="shared" si="14"/>
        <v>0.3122020991</v>
      </c>
      <c r="K126" s="51"/>
      <c r="L126" s="51"/>
      <c r="M126" s="51"/>
      <c r="N126" s="51"/>
      <c r="O126" s="51"/>
      <c r="P126" s="51"/>
      <c r="Q126" s="51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75"/>
      <c r="AC126" s="76" t="s">
        <v>28</v>
      </c>
      <c r="AD126" s="56">
        <f>IF('Ship Data Imperial'!E127&gt;0,'Ship Data Imperial'!E127,Standing!AN126)</f>
        <v>0</v>
      </c>
      <c r="AE126" s="230">
        <f t="shared" si="23"/>
        <v>0</v>
      </c>
      <c r="AF126" s="47">
        <f t="shared" si="50"/>
        <v>0</v>
      </c>
      <c r="AG126" s="231">
        <f t="shared" si="56"/>
        <v>0</v>
      </c>
      <c r="AH126" s="232">
        <f t="shared" si="24"/>
        <v>0</v>
      </c>
      <c r="AI126" s="230">
        <f t="shared" si="57"/>
        <v>0</v>
      </c>
      <c r="AJ126" s="233">
        <f t="shared" si="51"/>
        <v>0</v>
      </c>
      <c r="AK126" s="234">
        <f t="shared" si="33"/>
        <v>0</v>
      </c>
      <c r="AL126" s="228">
        <f t="shared" si="64"/>
        <v>0</v>
      </c>
      <c r="AM126" s="229">
        <f t="shared" si="65"/>
        <v>0</v>
      </c>
      <c r="AN126" s="56">
        <f>'Ship Data Metric'!E127*0.03280839895</f>
        <v>0</v>
      </c>
    </row>
    <row r="127" ht="15.75" customHeight="1">
      <c r="A127" s="51"/>
      <c r="B127" s="195" t="s">
        <v>332</v>
      </c>
      <c r="C127" s="189">
        <f>C126*0.8</f>
        <v>2.965611181</v>
      </c>
      <c r="D127" s="120">
        <f t="shared" si="10"/>
        <v>0.9439811501</v>
      </c>
      <c r="E127" s="249">
        <f t="shared" si="11"/>
        <v>75.326524</v>
      </c>
      <c r="F127" s="244">
        <f t="shared" si="12"/>
        <v>23.97712121</v>
      </c>
      <c r="G127" s="123">
        <f>C127/Introduction!$I$20</f>
        <v>0.03089178314</v>
      </c>
      <c r="H127" s="141">
        <f t="shared" si="13"/>
        <v>0.00983313698</v>
      </c>
      <c r="I127" s="124">
        <f>E127/Introduction!$I$20</f>
        <v>0.7846512917</v>
      </c>
      <c r="J127" s="247">
        <f t="shared" si="14"/>
        <v>0.2497616793</v>
      </c>
      <c r="K127" s="51"/>
      <c r="L127" s="51"/>
      <c r="M127" s="51"/>
      <c r="N127" s="51"/>
      <c r="O127" s="51"/>
      <c r="P127" s="51"/>
      <c r="Q127" s="51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75"/>
      <c r="AC127" s="76" t="s">
        <v>29</v>
      </c>
      <c r="AD127" s="56">
        <f>IF('Ship Data Imperial'!E128&gt;0,'Ship Data Imperial'!E128,Standing!AN127)</f>
        <v>0</v>
      </c>
      <c r="AE127" s="230">
        <f t="shared" si="23"/>
        <v>0</v>
      </c>
      <c r="AF127" s="47">
        <f t="shared" si="50"/>
        <v>0</v>
      </c>
      <c r="AG127" s="231">
        <f t="shared" si="56"/>
        <v>0</v>
      </c>
      <c r="AH127" s="232">
        <f t="shared" si="24"/>
        <v>0</v>
      </c>
      <c r="AI127" s="230">
        <f t="shared" si="57"/>
        <v>0</v>
      </c>
      <c r="AJ127" s="233">
        <f t="shared" si="51"/>
        <v>0</v>
      </c>
      <c r="AK127" s="234">
        <f t="shared" si="33"/>
        <v>0</v>
      </c>
      <c r="AL127" s="228">
        <f t="shared" si="64"/>
        <v>0</v>
      </c>
      <c r="AM127" s="229">
        <f t="shared" si="65"/>
        <v>0</v>
      </c>
      <c r="AN127" s="56">
        <f>'Ship Data Metric'!E128*0.03280839895</f>
        <v>0</v>
      </c>
    </row>
    <row r="128" ht="15.75" customHeight="1">
      <c r="A128" s="51"/>
      <c r="B128" s="195" t="s">
        <v>333</v>
      </c>
      <c r="C128" s="189">
        <f>C126</f>
        <v>3.707013976</v>
      </c>
      <c r="D128" s="120">
        <f t="shared" si="10"/>
        <v>1.179976438</v>
      </c>
      <c r="E128" s="249">
        <f t="shared" si="11"/>
        <v>94.158155</v>
      </c>
      <c r="F128" s="244">
        <f t="shared" si="12"/>
        <v>29.97140152</v>
      </c>
      <c r="G128" s="123">
        <f>C128/Introduction!$I$20</f>
        <v>0.03861472892</v>
      </c>
      <c r="H128" s="141">
        <f t="shared" si="13"/>
        <v>0.01229142122</v>
      </c>
      <c r="I128" s="124">
        <f>E128/Introduction!$I$20</f>
        <v>0.9808141146</v>
      </c>
      <c r="J128" s="247">
        <f t="shared" si="14"/>
        <v>0.3122020991</v>
      </c>
      <c r="K128" s="51"/>
      <c r="L128" s="51"/>
      <c r="M128" s="51"/>
      <c r="N128" s="51"/>
      <c r="O128" s="51"/>
      <c r="P128" s="51"/>
      <c r="Q128" s="51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75"/>
      <c r="AC128" s="158" t="s">
        <v>51</v>
      </c>
      <c r="AD128" s="56">
        <f>IF('Ship Data Imperial'!E129&gt;0,'Ship Data Imperial'!E129,Standing!AN128)</f>
        <v>0</v>
      </c>
      <c r="AE128" s="230">
        <f t="shared" si="23"/>
        <v>0</v>
      </c>
      <c r="AF128" s="47">
        <f t="shared" si="50"/>
        <v>0</v>
      </c>
      <c r="AG128" s="231">
        <f t="shared" si="56"/>
        <v>0</v>
      </c>
      <c r="AH128" s="232">
        <f t="shared" si="24"/>
        <v>0</v>
      </c>
      <c r="AI128" s="230">
        <f t="shared" si="57"/>
        <v>0</v>
      </c>
      <c r="AJ128" s="233">
        <f t="shared" si="51"/>
        <v>0</v>
      </c>
      <c r="AK128" s="234">
        <f t="shared" si="33"/>
        <v>0</v>
      </c>
      <c r="AL128" s="228">
        <f t="shared" si="64"/>
        <v>0</v>
      </c>
      <c r="AM128" s="229">
        <f t="shared" si="65"/>
        <v>0</v>
      </c>
      <c r="AN128" s="56">
        <f>'Ship Data Metric'!E129*0.03280839895</f>
        <v>0</v>
      </c>
    </row>
    <row r="129" ht="15.75" customHeight="1">
      <c r="A129" s="51"/>
      <c r="B129" s="196" t="s">
        <v>334</v>
      </c>
      <c r="C129" s="189">
        <f>C128*0.8</f>
        <v>2.965611181</v>
      </c>
      <c r="D129" s="120">
        <f t="shared" si="10"/>
        <v>0.9439811501</v>
      </c>
      <c r="E129" s="249">
        <f t="shared" si="11"/>
        <v>75.326524</v>
      </c>
      <c r="F129" s="244">
        <f t="shared" si="12"/>
        <v>23.97712121</v>
      </c>
      <c r="G129" s="123">
        <f>C129/Introduction!$I$20</f>
        <v>0.03089178314</v>
      </c>
      <c r="H129" s="141">
        <f t="shared" si="13"/>
        <v>0.00983313698</v>
      </c>
      <c r="I129" s="124">
        <f>E129/Introduction!$I$20</f>
        <v>0.7846512917</v>
      </c>
      <c r="J129" s="247">
        <f t="shared" si="14"/>
        <v>0.2497616793</v>
      </c>
      <c r="K129" s="51"/>
      <c r="L129" s="51"/>
      <c r="M129" s="51"/>
      <c r="N129" s="51"/>
      <c r="O129" s="51"/>
      <c r="P129" s="51"/>
      <c r="Q129" s="51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75" t="s">
        <v>58</v>
      </c>
      <c r="AC129" s="76" t="s">
        <v>24</v>
      </c>
      <c r="AD129" s="56">
        <f>IF('Ship Data Imperial'!E130&gt;0,'Ship Data Imperial'!E130,Standing!AN129)</f>
        <v>0</v>
      </c>
      <c r="AE129" s="230">
        <f t="shared" si="23"/>
        <v>0</v>
      </c>
      <c r="AF129" s="47">
        <f t="shared" si="50"/>
        <v>0</v>
      </c>
      <c r="AG129" s="231">
        <f t="shared" si="56"/>
        <v>0</v>
      </c>
      <c r="AH129" s="232">
        <f t="shared" si="24"/>
        <v>0</v>
      </c>
      <c r="AI129" s="230">
        <f t="shared" si="57"/>
        <v>0</v>
      </c>
      <c r="AJ129" s="233">
        <f t="shared" si="51"/>
        <v>0</v>
      </c>
      <c r="AK129" s="234">
        <f t="shared" si="33"/>
        <v>0</v>
      </c>
      <c r="AL129" s="228">
        <f t="shared" si="64"/>
        <v>0</v>
      </c>
      <c r="AM129" s="229">
        <f t="shared" si="65"/>
        <v>0</v>
      </c>
      <c r="AN129" s="56">
        <f>'Ship Data Metric'!E130*0.03280839895</f>
        <v>0</v>
      </c>
    </row>
    <row r="130" ht="15.75" customHeight="1">
      <c r="A130" s="51"/>
      <c r="B130" s="195" t="s">
        <v>335</v>
      </c>
      <c r="C130" s="189">
        <f>C132*0.66</f>
        <v>1.223314612</v>
      </c>
      <c r="D130" s="120">
        <f t="shared" si="10"/>
        <v>0.3893922244</v>
      </c>
      <c r="E130" s="249">
        <f t="shared" si="11"/>
        <v>31.07219115</v>
      </c>
      <c r="F130" s="244">
        <f t="shared" si="12"/>
        <v>9.8905625</v>
      </c>
      <c r="G130" s="123">
        <f>C130/Introduction!$I$20</f>
        <v>0.01274286054</v>
      </c>
      <c r="H130" s="141">
        <f t="shared" si="13"/>
        <v>0.004056169004</v>
      </c>
      <c r="I130" s="124">
        <f>E130/Introduction!$I$20</f>
        <v>0.3236686578</v>
      </c>
      <c r="J130" s="247">
        <f t="shared" si="14"/>
        <v>0.1030266927</v>
      </c>
      <c r="K130" s="51"/>
      <c r="L130" s="51"/>
      <c r="M130" s="51"/>
      <c r="N130" s="51"/>
      <c r="O130" s="51"/>
      <c r="P130" s="51"/>
      <c r="Q130" s="51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75"/>
      <c r="AC130" s="76" t="s">
        <v>25</v>
      </c>
      <c r="AD130" s="56">
        <f>IF('Ship Data Imperial'!E131&gt;0,'Ship Data Imperial'!E131,Standing!AN130)</f>
        <v>0</v>
      </c>
      <c r="AE130" s="230">
        <f t="shared" si="23"/>
        <v>0</v>
      </c>
      <c r="AF130" s="47">
        <f t="shared" si="50"/>
        <v>0</v>
      </c>
      <c r="AG130" s="231">
        <f t="shared" si="56"/>
        <v>0</v>
      </c>
      <c r="AH130" s="232">
        <f t="shared" si="24"/>
        <v>0</v>
      </c>
      <c r="AI130" s="230">
        <f t="shared" si="57"/>
        <v>0</v>
      </c>
      <c r="AJ130" s="233">
        <f t="shared" si="51"/>
        <v>0</v>
      </c>
      <c r="AK130" s="234">
        <f t="shared" si="33"/>
        <v>0</v>
      </c>
      <c r="AL130" s="228">
        <f t="shared" si="64"/>
        <v>0</v>
      </c>
      <c r="AM130" s="229">
        <f t="shared" si="65"/>
        <v>0</v>
      </c>
      <c r="AN130" s="56">
        <f>'Ship Data Metric'!E131*0.03280839895</f>
        <v>0</v>
      </c>
    </row>
    <row r="131" ht="15.75" customHeight="1">
      <c r="A131" s="51"/>
      <c r="B131" s="195" t="s">
        <v>330</v>
      </c>
      <c r="C131" s="189">
        <f>C130*0.66</f>
        <v>0.8073876441</v>
      </c>
      <c r="D131" s="120">
        <f t="shared" si="10"/>
        <v>0.2569988681</v>
      </c>
      <c r="E131" s="249">
        <f t="shared" si="11"/>
        <v>20.50764616</v>
      </c>
      <c r="F131" s="244">
        <f t="shared" si="12"/>
        <v>6.52777125</v>
      </c>
      <c r="G131" s="123">
        <f>C131/Introduction!$I$20</f>
        <v>0.008410287959</v>
      </c>
      <c r="H131" s="141">
        <f t="shared" si="13"/>
        <v>0.002677071543</v>
      </c>
      <c r="I131" s="124">
        <f>E131/Introduction!$I$20</f>
        <v>0.2136213142</v>
      </c>
      <c r="J131" s="247">
        <f t="shared" si="14"/>
        <v>0.06799761719</v>
      </c>
      <c r="K131" s="51"/>
      <c r="L131" s="51"/>
      <c r="M131" s="51"/>
      <c r="N131" s="51"/>
      <c r="O131" s="51"/>
      <c r="P131" s="51"/>
      <c r="Q131" s="51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75"/>
      <c r="AC131" s="76" t="s">
        <v>26</v>
      </c>
      <c r="AD131" s="56">
        <f>IF('Ship Data Imperial'!E132&gt;0,'Ship Data Imperial'!E132,Standing!AN131)</f>
        <v>0</v>
      </c>
      <c r="AE131" s="230">
        <f t="shared" si="23"/>
        <v>0</v>
      </c>
      <c r="AF131" s="47">
        <f t="shared" si="50"/>
        <v>0</v>
      </c>
      <c r="AG131" s="231">
        <f t="shared" si="56"/>
        <v>0</v>
      </c>
      <c r="AH131" s="232">
        <f t="shared" si="24"/>
        <v>0</v>
      </c>
      <c r="AI131" s="230">
        <f t="shared" si="57"/>
        <v>0</v>
      </c>
      <c r="AJ131" s="233">
        <f t="shared" si="51"/>
        <v>0</v>
      </c>
      <c r="AK131" s="234">
        <f t="shared" si="33"/>
        <v>0</v>
      </c>
      <c r="AL131" s="228">
        <f t="shared" si="64"/>
        <v>0</v>
      </c>
      <c r="AM131" s="229">
        <f t="shared" si="65"/>
        <v>0</v>
      </c>
      <c r="AN131" s="56">
        <f>'Ship Data Metric'!E132*0.03280839895</f>
        <v>0</v>
      </c>
    </row>
    <row r="132" ht="15.75" customHeight="1">
      <c r="A132" s="51"/>
      <c r="B132" s="195" t="s">
        <v>336</v>
      </c>
      <c r="C132" s="189">
        <f>C126/2</f>
        <v>1.853506988</v>
      </c>
      <c r="D132" s="120">
        <f t="shared" si="10"/>
        <v>0.5899882188</v>
      </c>
      <c r="E132" s="249">
        <f t="shared" si="11"/>
        <v>47.0790775</v>
      </c>
      <c r="F132" s="244">
        <f t="shared" si="12"/>
        <v>14.98570076</v>
      </c>
      <c r="G132" s="123">
        <f>C132/Introduction!$I$20</f>
        <v>0.01930736446</v>
      </c>
      <c r="H132" s="141">
        <f t="shared" si="13"/>
        <v>0.006145710612</v>
      </c>
      <c r="I132" s="124">
        <f>E132/Introduction!$I$20</f>
        <v>0.4904070573</v>
      </c>
      <c r="J132" s="247">
        <f t="shared" si="14"/>
        <v>0.1561010496</v>
      </c>
      <c r="K132" s="51"/>
      <c r="L132" s="51"/>
      <c r="M132" s="51"/>
      <c r="N132" s="51"/>
      <c r="O132" s="51"/>
      <c r="P132" s="51"/>
      <c r="Q132" s="51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75"/>
      <c r="AC132" s="76" t="s">
        <v>27</v>
      </c>
      <c r="AD132" s="56">
        <f>IF('Ship Data Imperial'!E133&gt;0,'Ship Data Imperial'!E133,Standing!AN132)</f>
        <v>0</v>
      </c>
      <c r="AE132" s="230">
        <f t="shared" si="23"/>
        <v>0</v>
      </c>
      <c r="AF132" s="47">
        <f t="shared" si="50"/>
        <v>0</v>
      </c>
      <c r="AG132" s="231">
        <f t="shared" si="56"/>
        <v>0</v>
      </c>
      <c r="AH132" s="232">
        <f t="shared" si="24"/>
        <v>0</v>
      </c>
      <c r="AI132" s="230">
        <f t="shared" si="57"/>
        <v>0</v>
      </c>
      <c r="AJ132" s="233">
        <f t="shared" si="51"/>
        <v>0</v>
      </c>
      <c r="AK132" s="234">
        <f t="shared" si="33"/>
        <v>0</v>
      </c>
      <c r="AL132" s="228">
        <f t="shared" si="64"/>
        <v>0</v>
      </c>
      <c r="AM132" s="229">
        <f t="shared" si="65"/>
        <v>0</v>
      </c>
      <c r="AN132" s="56">
        <f>'Ship Data Metric'!E133*0.03280839895</f>
        <v>0</v>
      </c>
    </row>
    <row r="133" ht="15.75" customHeight="1">
      <c r="A133" s="51"/>
      <c r="B133" s="195" t="s">
        <v>337</v>
      </c>
      <c r="C133" s="189">
        <f>C132*0.75</f>
        <v>1.390130241</v>
      </c>
      <c r="D133" s="120">
        <f t="shared" si="10"/>
        <v>0.4424911641</v>
      </c>
      <c r="E133" s="249">
        <f t="shared" si="11"/>
        <v>35.30930812</v>
      </c>
      <c r="F133" s="244">
        <f t="shared" si="12"/>
        <v>11.23927557</v>
      </c>
      <c r="G133" s="123">
        <f>C133/Introduction!$I$20</f>
        <v>0.01448052335</v>
      </c>
      <c r="H133" s="141">
        <f t="shared" si="13"/>
        <v>0.004609282959</v>
      </c>
      <c r="I133" s="124">
        <f>E133/Introduction!$I$20</f>
        <v>0.367805293</v>
      </c>
      <c r="J133" s="247">
        <f t="shared" si="14"/>
        <v>0.1170757872</v>
      </c>
      <c r="K133" s="51"/>
      <c r="L133" s="51"/>
      <c r="M133" s="51"/>
      <c r="N133" s="51"/>
      <c r="O133" s="51"/>
      <c r="P133" s="51"/>
      <c r="Q133" s="51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75"/>
      <c r="AC133" s="76" t="s">
        <v>28</v>
      </c>
      <c r="AD133" s="56">
        <f>IF('Ship Data Imperial'!E134&gt;0,'Ship Data Imperial'!E134,Standing!AN133)</f>
        <v>0</v>
      </c>
      <c r="AE133" s="230">
        <f t="shared" si="23"/>
        <v>0</v>
      </c>
      <c r="AF133" s="47">
        <f t="shared" si="50"/>
        <v>0</v>
      </c>
      <c r="AG133" s="231">
        <f t="shared" si="56"/>
        <v>0</v>
      </c>
      <c r="AH133" s="232">
        <f t="shared" si="24"/>
        <v>0</v>
      </c>
      <c r="AI133" s="230">
        <f t="shared" si="57"/>
        <v>0</v>
      </c>
      <c r="AJ133" s="233">
        <f t="shared" si="51"/>
        <v>0</v>
      </c>
      <c r="AK133" s="234">
        <f t="shared" si="33"/>
        <v>0</v>
      </c>
      <c r="AL133" s="228">
        <f t="shared" si="64"/>
        <v>0</v>
      </c>
      <c r="AM133" s="229">
        <f t="shared" si="65"/>
        <v>0</v>
      </c>
      <c r="AN133" s="56">
        <f>'Ship Data Metric'!E134*0.03280839895</f>
        <v>0</v>
      </c>
    </row>
    <row r="134" ht="15.75" customHeight="1">
      <c r="A134" s="51"/>
      <c r="B134" s="195" t="s">
        <v>338</v>
      </c>
      <c r="C134" s="189">
        <f>C132*0.75</f>
        <v>1.390130241</v>
      </c>
      <c r="D134" s="120">
        <f t="shared" si="10"/>
        <v>0.4424911641</v>
      </c>
      <c r="E134" s="249">
        <f t="shared" si="11"/>
        <v>35.30930812</v>
      </c>
      <c r="F134" s="244">
        <f t="shared" si="12"/>
        <v>11.23927557</v>
      </c>
      <c r="G134" s="123">
        <f>C134/Introduction!$I$20</f>
        <v>0.01448052335</v>
      </c>
      <c r="H134" s="141">
        <f t="shared" si="13"/>
        <v>0.004609282959</v>
      </c>
      <c r="I134" s="124">
        <f>E134/Introduction!$I$20</f>
        <v>0.367805293</v>
      </c>
      <c r="J134" s="247">
        <f t="shared" si="14"/>
        <v>0.1170757872</v>
      </c>
      <c r="K134" s="51"/>
      <c r="L134" s="51"/>
      <c r="M134" s="51"/>
      <c r="N134" s="51"/>
      <c r="O134" s="51"/>
      <c r="P134" s="51"/>
      <c r="Q134" s="51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75"/>
      <c r="AC134" s="76" t="s">
        <v>29</v>
      </c>
      <c r="AD134" s="56">
        <f>IF('Ship Data Imperial'!E135&gt;0,'Ship Data Imperial'!E135,Standing!AN134)</f>
        <v>0</v>
      </c>
      <c r="AE134" s="230">
        <f t="shared" si="23"/>
        <v>0</v>
      </c>
      <c r="AF134" s="47">
        <f t="shared" si="50"/>
        <v>0</v>
      </c>
      <c r="AG134" s="231">
        <f t="shared" si="56"/>
        <v>0</v>
      </c>
      <c r="AH134" s="232">
        <f t="shared" si="24"/>
        <v>0</v>
      </c>
      <c r="AI134" s="230">
        <f t="shared" si="57"/>
        <v>0</v>
      </c>
      <c r="AJ134" s="233">
        <f t="shared" si="51"/>
        <v>0</v>
      </c>
      <c r="AK134" s="234">
        <f t="shared" si="33"/>
        <v>0</v>
      </c>
      <c r="AL134" s="228">
        <f t="shared" si="64"/>
        <v>0</v>
      </c>
      <c r="AM134" s="229">
        <f t="shared" si="65"/>
        <v>0</v>
      </c>
      <c r="AN134" s="56">
        <f>'Ship Data Metric'!E135*0.03280839895</f>
        <v>0</v>
      </c>
    </row>
    <row r="135" ht="15.75" customHeight="1">
      <c r="A135" s="51"/>
      <c r="B135" s="196" t="s">
        <v>339</v>
      </c>
      <c r="C135" s="189">
        <f>C134*0.75</f>
        <v>1.042597681</v>
      </c>
      <c r="D135" s="120">
        <f t="shared" si="10"/>
        <v>0.3318683731</v>
      </c>
      <c r="E135" s="249">
        <f t="shared" si="11"/>
        <v>26.48198109</v>
      </c>
      <c r="F135" s="244">
        <f t="shared" si="12"/>
        <v>8.429456676</v>
      </c>
      <c r="G135" s="123">
        <f>C135/Introduction!$I$20</f>
        <v>0.01086039251</v>
      </c>
      <c r="H135" s="141">
        <f t="shared" si="13"/>
        <v>0.00345696222</v>
      </c>
      <c r="I135" s="124">
        <f>E135/Introduction!$I$20</f>
        <v>0.2758539697</v>
      </c>
      <c r="J135" s="247">
        <f t="shared" si="14"/>
        <v>0.08780684038</v>
      </c>
      <c r="K135" s="51"/>
      <c r="L135" s="51"/>
      <c r="M135" s="51"/>
      <c r="N135" s="51"/>
      <c r="O135" s="51"/>
      <c r="P135" s="51"/>
      <c r="Q135" s="51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75"/>
      <c r="AC135" s="158" t="s">
        <v>51</v>
      </c>
      <c r="AD135" s="56">
        <f>IF('Ship Data Imperial'!E136&gt;0,'Ship Data Imperial'!E136,Standing!AN135)</f>
        <v>0</v>
      </c>
      <c r="AE135" s="230">
        <f t="shared" si="23"/>
        <v>0</v>
      </c>
      <c r="AF135" s="47">
        <f t="shared" si="50"/>
        <v>0</v>
      </c>
      <c r="AG135" s="231">
        <f t="shared" si="56"/>
        <v>0</v>
      </c>
      <c r="AH135" s="232">
        <f t="shared" si="24"/>
        <v>0</v>
      </c>
      <c r="AI135" s="230">
        <f t="shared" si="57"/>
        <v>0</v>
      </c>
      <c r="AJ135" s="233">
        <f t="shared" si="51"/>
        <v>0</v>
      </c>
      <c r="AK135" s="234">
        <f t="shared" si="33"/>
        <v>0</v>
      </c>
      <c r="AL135" s="228">
        <f t="shared" si="64"/>
        <v>0</v>
      </c>
      <c r="AM135" s="229">
        <f t="shared" si="65"/>
        <v>0</v>
      </c>
      <c r="AN135" s="56">
        <f>'Ship Data Metric'!E136*0.03280839895</f>
        <v>0</v>
      </c>
    </row>
    <row r="136" ht="15.75" customHeight="1">
      <c r="A136" s="51"/>
      <c r="B136" s="195" t="s">
        <v>340</v>
      </c>
      <c r="C136" s="189">
        <f>IF(C132/2&gt;2,C132/2,2)</f>
        <v>2</v>
      </c>
      <c r="D136" s="120">
        <f t="shared" si="10"/>
        <v>0.6366182837</v>
      </c>
      <c r="E136" s="249">
        <f t="shared" si="11"/>
        <v>50.8</v>
      </c>
      <c r="F136" s="244">
        <f t="shared" si="12"/>
        <v>16.17010441</v>
      </c>
      <c r="G136" s="123">
        <f>C136/Introduction!$I$20</f>
        <v>0.02083333333</v>
      </c>
      <c r="H136" s="141">
        <f t="shared" si="13"/>
        <v>0.006631440455</v>
      </c>
      <c r="I136" s="124">
        <f>E136/Introduction!$I$20</f>
        <v>0.5291666667</v>
      </c>
      <c r="J136" s="247">
        <f t="shared" si="14"/>
        <v>0.1684385876</v>
      </c>
      <c r="K136" s="51"/>
      <c r="L136" s="51"/>
      <c r="M136" s="51"/>
      <c r="N136" s="51"/>
      <c r="O136" s="51"/>
      <c r="P136" s="51"/>
      <c r="Q136" s="51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260">
        <f t="shared" ref="AE136:AM136" si="66">SUM(AE2:AE135)</f>
        <v>4.71480315</v>
      </c>
      <c r="AF136" s="260">
        <f t="shared" si="66"/>
        <v>2.946751968</v>
      </c>
      <c r="AG136" s="260">
        <f t="shared" si="66"/>
        <v>4.583836395</v>
      </c>
      <c r="AH136" s="260">
        <f t="shared" si="66"/>
        <v>3.300362205</v>
      </c>
      <c r="AI136" s="260">
        <f t="shared" si="66"/>
        <v>4.125452756</v>
      </c>
      <c r="AJ136" s="260">
        <f t="shared" si="66"/>
        <v>2.062726378</v>
      </c>
      <c r="AK136" s="260">
        <f t="shared" si="66"/>
        <v>2.946751968</v>
      </c>
      <c r="AL136" s="96">
        <f t="shared" si="66"/>
        <v>1.750370669</v>
      </c>
      <c r="AM136" s="96">
        <f t="shared" si="66"/>
        <v>3</v>
      </c>
      <c r="AN136" s="54"/>
    </row>
    <row r="137" ht="15.75" customHeight="1">
      <c r="A137" s="51"/>
      <c r="B137" s="196" t="s">
        <v>341</v>
      </c>
      <c r="C137" s="119">
        <f>IF(C136/2&gt;2,C136/2,2)</f>
        <v>2</v>
      </c>
      <c r="D137" s="261">
        <f t="shared" si="10"/>
        <v>0.6366182837</v>
      </c>
      <c r="E137" s="262">
        <f t="shared" si="11"/>
        <v>50.8</v>
      </c>
      <c r="F137" s="263">
        <f t="shared" si="12"/>
        <v>16.17010441</v>
      </c>
      <c r="G137" s="264">
        <f>C137/Introduction!$I$20</f>
        <v>0.02083333333</v>
      </c>
      <c r="H137" s="265">
        <f t="shared" si="13"/>
        <v>0.006631440455</v>
      </c>
      <c r="I137" s="266">
        <f>E137/Introduction!$I$20</f>
        <v>0.5291666667</v>
      </c>
      <c r="J137" s="267">
        <f t="shared" si="14"/>
        <v>0.1684385876</v>
      </c>
      <c r="K137" s="51"/>
      <c r="L137" s="51"/>
      <c r="M137" s="51"/>
      <c r="N137" s="51"/>
      <c r="O137" s="51"/>
      <c r="P137" s="51"/>
      <c r="Q137" s="51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L137" s="54"/>
      <c r="AM137" s="54"/>
      <c r="AN137" s="54"/>
    </row>
    <row r="138" ht="15.75" customHeight="1">
      <c r="A138" s="51"/>
      <c r="B138" s="195" t="s">
        <v>342</v>
      </c>
      <c r="C138" s="119">
        <f>C126*0.33</f>
        <v>1.223314612</v>
      </c>
      <c r="D138" s="261">
        <f t="shared" si="10"/>
        <v>0.3893922244</v>
      </c>
      <c r="E138" s="262">
        <f t="shared" si="11"/>
        <v>31.07219115</v>
      </c>
      <c r="F138" s="263">
        <f t="shared" si="12"/>
        <v>9.8905625</v>
      </c>
      <c r="G138" s="264">
        <f>C138/Introduction!$I$20</f>
        <v>0.01274286054</v>
      </c>
      <c r="H138" s="265">
        <f t="shared" si="13"/>
        <v>0.004056169004</v>
      </c>
      <c r="I138" s="266">
        <f>E138/Introduction!$I$20</f>
        <v>0.3236686578</v>
      </c>
      <c r="J138" s="267">
        <f t="shared" si="14"/>
        <v>0.1030266927</v>
      </c>
      <c r="K138" s="51"/>
      <c r="L138" s="51"/>
      <c r="M138" s="51"/>
      <c r="N138" s="51"/>
      <c r="O138" s="51"/>
      <c r="P138" s="51"/>
      <c r="Q138" s="51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L138" s="54"/>
      <c r="AM138" s="54"/>
      <c r="AN138" s="54"/>
    </row>
    <row r="139" ht="15.75" customHeight="1">
      <c r="A139" s="51"/>
      <c r="B139" s="195" t="s">
        <v>343</v>
      </c>
      <c r="C139" s="119">
        <f>C128*0.33</f>
        <v>1.223314612</v>
      </c>
      <c r="D139" s="261">
        <f t="shared" si="10"/>
        <v>0.3893922244</v>
      </c>
      <c r="E139" s="262">
        <f t="shared" si="11"/>
        <v>31.07219115</v>
      </c>
      <c r="F139" s="263">
        <f t="shared" si="12"/>
        <v>9.8905625</v>
      </c>
      <c r="G139" s="264">
        <f>C139/Introduction!$I$20</f>
        <v>0.01274286054</v>
      </c>
      <c r="H139" s="265">
        <f t="shared" si="13"/>
        <v>0.004056169004</v>
      </c>
      <c r="I139" s="266">
        <f>E139/Introduction!$I$20</f>
        <v>0.3236686578</v>
      </c>
      <c r="J139" s="267">
        <f t="shared" si="14"/>
        <v>0.1030266927</v>
      </c>
      <c r="K139" s="51"/>
      <c r="L139" s="51"/>
      <c r="M139" s="51"/>
      <c r="N139" s="51"/>
      <c r="O139" s="51"/>
      <c r="P139" s="51"/>
      <c r="Q139" s="51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L139" s="54"/>
      <c r="AM139" s="54"/>
      <c r="AN139" s="54"/>
    </row>
    <row r="140" ht="15.75" customHeight="1">
      <c r="A140" s="51"/>
      <c r="B140" s="195" t="s">
        <v>344</v>
      </c>
      <c r="C140" s="119">
        <f>C132/2</f>
        <v>0.9267534941</v>
      </c>
      <c r="D140" s="261">
        <f t="shared" si="10"/>
        <v>0.2949941094</v>
      </c>
      <c r="E140" s="262">
        <f t="shared" si="11"/>
        <v>23.53953875</v>
      </c>
      <c r="F140" s="263">
        <f t="shared" si="12"/>
        <v>7.492850379</v>
      </c>
      <c r="G140" s="264">
        <f>C140/Introduction!$I$20</f>
        <v>0.00965368223</v>
      </c>
      <c r="H140" s="265">
        <f t="shared" si="13"/>
        <v>0.003072855306</v>
      </c>
      <c r="I140" s="266">
        <f>E140/Introduction!$I$20</f>
        <v>0.2452035286</v>
      </c>
      <c r="J140" s="267">
        <f t="shared" si="14"/>
        <v>0.07805052478</v>
      </c>
      <c r="K140" s="51"/>
      <c r="L140" s="51"/>
      <c r="M140" s="51"/>
      <c r="N140" s="51"/>
      <c r="O140" s="51"/>
      <c r="P140" s="51"/>
      <c r="Q140" s="51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</row>
    <row r="141" ht="15.75" customHeight="1">
      <c r="A141" s="51"/>
      <c r="B141" s="195" t="s">
        <v>345</v>
      </c>
      <c r="C141" s="119">
        <f>IF(C134/2&gt;1,C134/2,1)</f>
        <v>1</v>
      </c>
      <c r="D141" s="261">
        <f t="shared" si="10"/>
        <v>0.3183091418</v>
      </c>
      <c r="E141" s="262">
        <f t="shared" si="11"/>
        <v>25.4</v>
      </c>
      <c r="F141" s="263">
        <f t="shared" si="12"/>
        <v>8.085052203</v>
      </c>
      <c r="G141" s="264">
        <f>C141/Introduction!$I$20</f>
        <v>0.01041666667</v>
      </c>
      <c r="H141" s="265">
        <f t="shared" si="13"/>
        <v>0.003315720227</v>
      </c>
      <c r="I141" s="266">
        <f>E141/Introduction!$I$20</f>
        <v>0.2645833333</v>
      </c>
      <c r="J141" s="267">
        <f t="shared" si="14"/>
        <v>0.08421929378</v>
      </c>
      <c r="K141" s="51"/>
      <c r="L141" s="51"/>
      <c r="M141" s="51"/>
      <c r="N141" s="51"/>
      <c r="O141" s="51"/>
      <c r="P141" s="51"/>
      <c r="Q141" s="51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</row>
    <row r="142" ht="15.75" customHeight="1">
      <c r="A142" s="51"/>
      <c r="B142" s="195" t="s">
        <v>346</v>
      </c>
      <c r="C142" s="119">
        <f t="shared" ref="C142:C143" si="67">C136/2</f>
        <v>1</v>
      </c>
      <c r="D142" s="261">
        <f t="shared" si="10"/>
        <v>0.3183091418</v>
      </c>
      <c r="E142" s="262">
        <f t="shared" si="11"/>
        <v>25.4</v>
      </c>
      <c r="F142" s="263">
        <f t="shared" si="12"/>
        <v>8.085052203</v>
      </c>
      <c r="G142" s="264">
        <f>C142/Introduction!$I$20</f>
        <v>0.01041666667</v>
      </c>
      <c r="H142" s="265">
        <f t="shared" si="13"/>
        <v>0.003315720227</v>
      </c>
      <c r="I142" s="266">
        <f>E142/Introduction!$I$20</f>
        <v>0.2645833333</v>
      </c>
      <c r="J142" s="267">
        <f t="shared" si="14"/>
        <v>0.08421929378</v>
      </c>
      <c r="K142" s="51"/>
      <c r="L142" s="51"/>
      <c r="M142" s="51"/>
      <c r="N142" s="51"/>
      <c r="O142" s="51"/>
      <c r="P142" s="51"/>
      <c r="Q142" s="51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</row>
    <row r="143" ht="15.75" customHeight="1">
      <c r="A143" s="51"/>
      <c r="B143" s="195" t="s">
        <v>347</v>
      </c>
      <c r="C143" s="268">
        <f t="shared" si="67"/>
        <v>1</v>
      </c>
      <c r="D143" s="261">
        <f t="shared" si="10"/>
        <v>0.3183091418</v>
      </c>
      <c r="E143" s="262">
        <f t="shared" si="11"/>
        <v>25.4</v>
      </c>
      <c r="F143" s="263">
        <f t="shared" si="12"/>
        <v>8.085052203</v>
      </c>
      <c r="G143" s="264">
        <f>C143/Introduction!$I$20</f>
        <v>0.01041666667</v>
      </c>
      <c r="H143" s="265">
        <f t="shared" si="13"/>
        <v>0.003315720227</v>
      </c>
      <c r="I143" s="266">
        <f>E143/Introduction!$I$20</f>
        <v>0.2645833333</v>
      </c>
      <c r="J143" s="267">
        <f t="shared" si="14"/>
        <v>0.08421929378</v>
      </c>
      <c r="K143" s="51"/>
      <c r="L143" s="51"/>
      <c r="M143" s="51"/>
      <c r="N143" s="51"/>
      <c r="O143" s="51"/>
      <c r="P143" s="51"/>
      <c r="Q143" s="51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</row>
    <row r="144" ht="15.75" customHeight="1">
      <c r="A144" s="51"/>
      <c r="B144" s="250" t="s">
        <v>348</v>
      </c>
      <c r="C144" s="269">
        <f>C126*0.8</f>
        <v>2.965611181</v>
      </c>
      <c r="D144" s="270">
        <f t="shared" si="10"/>
        <v>0.9439811501</v>
      </c>
      <c r="E144" s="271">
        <f t="shared" si="11"/>
        <v>75.326524</v>
      </c>
      <c r="F144" s="272">
        <f t="shared" si="12"/>
        <v>23.97712121</v>
      </c>
      <c r="G144" s="273">
        <f>C144/Introduction!$I$20</f>
        <v>0.03089178314</v>
      </c>
      <c r="H144" s="274">
        <f t="shared" si="13"/>
        <v>0.00983313698</v>
      </c>
      <c r="I144" s="275">
        <f>E144/Introduction!$I$20</f>
        <v>0.7846512917</v>
      </c>
      <c r="J144" s="276">
        <f t="shared" si="14"/>
        <v>0.2497616793</v>
      </c>
      <c r="K144" s="51"/>
      <c r="L144" s="51"/>
      <c r="M144" s="51"/>
      <c r="N144" s="51"/>
      <c r="O144" s="51"/>
      <c r="P144" s="51"/>
      <c r="Q144" s="51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</row>
    <row r="145" ht="15.75" customHeight="1">
      <c r="A145" s="51"/>
      <c r="B145" s="195" t="s">
        <v>349</v>
      </c>
      <c r="C145" s="119">
        <f>C144/2</f>
        <v>1.482805591</v>
      </c>
      <c r="D145" s="261">
        <f t="shared" si="10"/>
        <v>0.471990575</v>
      </c>
      <c r="E145" s="262">
        <f t="shared" si="11"/>
        <v>37.663262</v>
      </c>
      <c r="F145" s="263">
        <f t="shared" si="12"/>
        <v>11.98856061</v>
      </c>
      <c r="G145" s="264">
        <f>C145/Introduction!$I$20</f>
        <v>0.01544589157</v>
      </c>
      <c r="H145" s="265">
        <f t="shared" si="13"/>
        <v>0.00491656849</v>
      </c>
      <c r="I145" s="266">
        <f>E145/Introduction!$I$20</f>
        <v>0.3923256458</v>
      </c>
      <c r="J145" s="267">
        <f t="shared" si="14"/>
        <v>0.1248808396</v>
      </c>
      <c r="K145" s="51"/>
      <c r="L145" s="51"/>
      <c r="M145" s="51"/>
      <c r="N145" s="51"/>
      <c r="O145" s="51"/>
      <c r="P145" s="51"/>
      <c r="Q145" s="51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</row>
    <row r="146" ht="15.75" customHeight="1">
      <c r="A146" s="51"/>
      <c r="B146" s="195" t="s">
        <v>350</v>
      </c>
      <c r="C146" s="119">
        <f>C149</f>
        <v>1.853506988</v>
      </c>
      <c r="D146" s="261">
        <f t="shared" si="10"/>
        <v>0.5899882188</v>
      </c>
      <c r="E146" s="262">
        <f t="shared" si="11"/>
        <v>47.0790775</v>
      </c>
      <c r="F146" s="263">
        <f t="shared" si="12"/>
        <v>14.98570076</v>
      </c>
      <c r="G146" s="264">
        <f>C146/Introduction!$I$20</f>
        <v>0.01930736446</v>
      </c>
      <c r="H146" s="265">
        <f t="shared" si="13"/>
        <v>0.006145710612</v>
      </c>
      <c r="I146" s="266">
        <f>E146/Introduction!$I$20</f>
        <v>0.4904070573</v>
      </c>
      <c r="J146" s="267">
        <f t="shared" si="14"/>
        <v>0.1561010496</v>
      </c>
      <c r="K146" s="51"/>
      <c r="L146" s="51"/>
      <c r="M146" s="51"/>
      <c r="N146" s="51"/>
      <c r="O146" s="51"/>
      <c r="P146" s="51"/>
      <c r="Q146" s="51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</row>
    <row r="147" ht="15.75" customHeight="1">
      <c r="A147" s="51"/>
      <c r="B147" s="195" t="s">
        <v>351</v>
      </c>
      <c r="C147" s="119">
        <v>1.5</v>
      </c>
      <c r="D147" s="261">
        <f t="shared" si="10"/>
        <v>0.4774637128</v>
      </c>
      <c r="E147" s="262">
        <f t="shared" si="11"/>
        <v>38.1</v>
      </c>
      <c r="F147" s="263">
        <f t="shared" si="12"/>
        <v>12.1275783</v>
      </c>
      <c r="G147" s="264">
        <f>C147/Introduction!$I$20</f>
        <v>0.015625</v>
      </c>
      <c r="H147" s="265">
        <f t="shared" si="13"/>
        <v>0.004973580341</v>
      </c>
      <c r="I147" s="266">
        <f>E147/Introduction!$I$20</f>
        <v>0.396875</v>
      </c>
      <c r="J147" s="267">
        <f t="shared" si="14"/>
        <v>0.1263289407</v>
      </c>
      <c r="K147" s="51"/>
      <c r="L147" s="51"/>
      <c r="M147" s="51"/>
      <c r="N147" s="51"/>
      <c r="O147" s="51"/>
      <c r="P147" s="51"/>
      <c r="Q147" s="51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</row>
    <row r="148" ht="15.75" customHeight="1">
      <c r="A148" s="51"/>
      <c r="B148" s="195" t="s">
        <v>352</v>
      </c>
      <c r="C148" s="119">
        <f>IF(C144/4&gt;1,C144/4,1)</f>
        <v>1</v>
      </c>
      <c r="D148" s="261">
        <f t="shared" si="10"/>
        <v>0.3183091418</v>
      </c>
      <c r="E148" s="262">
        <f t="shared" si="11"/>
        <v>25.4</v>
      </c>
      <c r="F148" s="263">
        <f t="shared" si="12"/>
        <v>8.085052203</v>
      </c>
      <c r="G148" s="264">
        <f>C148/Introduction!$I$20</f>
        <v>0.01041666667</v>
      </c>
      <c r="H148" s="265">
        <f t="shared" si="13"/>
        <v>0.003315720227</v>
      </c>
      <c r="I148" s="266">
        <f>E148/Introduction!$I$20</f>
        <v>0.2645833333</v>
      </c>
      <c r="J148" s="267">
        <f t="shared" si="14"/>
        <v>0.08421929378</v>
      </c>
      <c r="K148" s="51"/>
      <c r="L148" s="51"/>
      <c r="M148" s="51"/>
      <c r="N148" s="51"/>
      <c r="O148" s="51"/>
      <c r="P148" s="51"/>
      <c r="Q148" s="51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</row>
    <row r="149" ht="15.75" customHeight="1">
      <c r="A149" s="51"/>
      <c r="B149" s="195" t="s">
        <v>353</v>
      </c>
      <c r="C149" s="119">
        <f>C132</f>
        <v>1.853506988</v>
      </c>
      <c r="D149" s="261">
        <f t="shared" si="10"/>
        <v>0.5899882188</v>
      </c>
      <c r="E149" s="262">
        <f t="shared" si="11"/>
        <v>47.0790775</v>
      </c>
      <c r="F149" s="263">
        <f t="shared" si="12"/>
        <v>14.98570076</v>
      </c>
      <c r="G149" s="264">
        <f>C149/Introduction!$I$20</f>
        <v>0.01930736446</v>
      </c>
      <c r="H149" s="265">
        <f t="shared" si="13"/>
        <v>0.006145710612</v>
      </c>
      <c r="I149" s="266">
        <f>E149/Introduction!$I$20</f>
        <v>0.4904070573</v>
      </c>
      <c r="J149" s="267">
        <f t="shared" si="14"/>
        <v>0.1561010496</v>
      </c>
      <c r="K149" s="51"/>
      <c r="L149" s="51"/>
      <c r="M149" s="51"/>
      <c r="N149" s="51"/>
      <c r="O149" s="51"/>
      <c r="P149" s="51"/>
      <c r="Q149" s="51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</row>
    <row r="150" ht="15.75" customHeight="1">
      <c r="A150" s="51"/>
      <c r="B150" s="195" t="s">
        <v>354</v>
      </c>
      <c r="C150" s="119">
        <f>C149/2</f>
        <v>0.9267534941</v>
      </c>
      <c r="D150" s="261">
        <f t="shared" si="10"/>
        <v>0.2949941094</v>
      </c>
      <c r="E150" s="262">
        <f t="shared" si="11"/>
        <v>23.53953875</v>
      </c>
      <c r="F150" s="263">
        <f t="shared" si="12"/>
        <v>7.492850379</v>
      </c>
      <c r="G150" s="264">
        <f>C150/Introduction!$I$20</f>
        <v>0.00965368223</v>
      </c>
      <c r="H150" s="265">
        <f t="shared" si="13"/>
        <v>0.003072855306</v>
      </c>
      <c r="I150" s="266">
        <f>E150/Introduction!$I$20</f>
        <v>0.2452035286</v>
      </c>
      <c r="J150" s="267">
        <f t="shared" si="14"/>
        <v>0.07805052478</v>
      </c>
      <c r="K150" s="51"/>
      <c r="L150" s="51"/>
      <c r="M150" s="51"/>
      <c r="N150" s="51"/>
      <c r="O150" s="51"/>
      <c r="P150" s="51"/>
      <c r="Q150" s="51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</row>
    <row r="151" ht="15.75" customHeight="1">
      <c r="A151" s="51"/>
      <c r="B151" s="195" t="s">
        <v>355</v>
      </c>
      <c r="C151" s="119">
        <f>C154</f>
        <v>2</v>
      </c>
      <c r="D151" s="261">
        <f t="shared" si="10"/>
        <v>0.6366182837</v>
      </c>
      <c r="E151" s="262">
        <f t="shared" si="11"/>
        <v>50.8</v>
      </c>
      <c r="F151" s="263">
        <f t="shared" si="12"/>
        <v>16.17010441</v>
      </c>
      <c r="G151" s="264">
        <f>C151/Introduction!$I$20</f>
        <v>0.02083333333</v>
      </c>
      <c r="H151" s="265">
        <f t="shared" si="13"/>
        <v>0.006631440455</v>
      </c>
      <c r="I151" s="266">
        <f>E151/Introduction!$I$20</f>
        <v>0.5291666667</v>
      </c>
      <c r="J151" s="267">
        <f t="shared" si="14"/>
        <v>0.1684385876</v>
      </c>
      <c r="K151" s="51"/>
      <c r="L151" s="51"/>
      <c r="M151" s="51"/>
      <c r="N151" s="51"/>
      <c r="O151" s="51"/>
      <c r="P151" s="51"/>
      <c r="Q151" s="51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</row>
    <row r="152" ht="15.75" customHeight="1">
      <c r="A152" s="51"/>
      <c r="B152" s="195" t="s">
        <v>356</v>
      </c>
      <c r="C152" s="119">
        <v>1.5</v>
      </c>
      <c r="D152" s="261">
        <f t="shared" si="10"/>
        <v>0.4774637128</v>
      </c>
      <c r="E152" s="262">
        <f t="shared" si="11"/>
        <v>38.1</v>
      </c>
      <c r="F152" s="263">
        <f t="shared" si="12"/>
        <v>12.1275783</v>
      </c>
      <c r="G152" s="264">
        <f>C152/Introduction!$I$20</f>
        <v>0.015625</v>
      </c>
      <c r="H152" s="265">
        <f t="shared" si="13"/>
        <v>0.004973580341</v>
      </c>
      <c r="I152" s="266">
        <f>E152/Introduction!$I$20</f>
        <v>0.396875</v>
      </c>
      <c r="J152" s="267">
        <f t="shared" si="14"/>
        <v>0.1263289407</v>
      </c>
      <c r="K152" s="51"/>
      <c r="L152" s="51"/>
      <c r="M152" s="51"/>
      <c r="N152" s="51"/>
      <c r="O152" s="51"/>
      <c r="P152" s="51"/>
      <c r="Q152" s="51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</row>
    <row r="153" ht="15.75" customHeight="1">
      <c r="A153" s="51"/>
      <c r="B153" s="195" t="s">
        <v>357</v>
      </c>
      <c r="C153" s="119">
        <f>C148</f>
        <v>1</v>
      </c>
      <c r="D153" s="261">
        <f t="shared" si="10"/>
        <v>0.3183091418</v>
      </c>
      <c r="E153" s="262">
        <f t="shared" si="11"/>
        <v>25.4</v>
      </c>
      <c r="F153" s="263">
        <f t="shared" si="12"/>
        <v>8.085052203</v>
      </c>
      <c r="G153" s="264">
        <f>C153/Introduction!$I$20</f>
        <v>0.01041666667</v>
      </c>
      <c r="H153" s="265">
        <f t="shared" si="13"/>
        <v>0.003315720227</v>
      </c>
      <c r="I153" s="266">
        <f>E153/Introduction!$I$20</f>
        <v>0.2645833333</v>
      </c>
      <c r="J153" s="267">
        <f t="shared" si="14"/>
        <v>0.08421929378</v>
      </c>
      <c r="K153" s="51"/>
      <c r="L153" s="51"/>
      <c r="M153" s="51"/>
      <c r="N153" s="51"/>
      <c r="O153" s="51"/>
      <c r="P153" s="51"/>
      <c r="Q153" s="51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</row>
    <row r="154" ht="15.75" customHeight="1">
      <c r="A154" s="51"/>
      <c r="B154" s="195" t="s">
        <v>358</v>
      </c>
      <c r="C154" s="119">
        <f>C136</f>
        <v>2</v>
      </c>
      <c r="D154" s="261">
        <f t="shared" si="10"/>
        <v>0.6366182837</v>
      </c>
      <c r="E154" s="262">
        <f t="shared" si="11"/>
        <v>50.8</v>
      </c>
      <c r="F154" s="263">
        <f t="shared" si="12"/>
        <v>16.17010441</v>
      </c>
      <c r="G154" s="264">
        <f>C154/Introduction!$I$20</f>
        <v>0.02083333333</v>
      </c>
      <c r="H154" s="265">
        <f t="shared" si="13"/>
        <v>0.006631440455</v>
      </c>
      <c r="I154" s="266">
        <f>E154/Introduction!$I$20</f>
        <v>0.5291666667</v>
      </c>
      <c r="J154" s="267">
        <f t="shared" si="14"/>
        <v>0.1684385876</v>
      </c>
      <c r="K154" s="51"/>
      <c r="L154" s="51"/>
      <c r="M154" s="51"/>
      <c r="N154" s="51"/>
      <c r="O154" s="51"/>
      <c r="P154" s="51"/>
      <c r="Q154" s="51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</row>
    <row r="155" ht="15.75" customHeight="1">
      <c r="A155" s="51"/>
      <c r="B155" s="195" t="s">
        <v>359</v>
      </c>
      <c r="C155" s="119">
        <f>C154/2</f>
        <v>1</v>
      </c>
      <c r="D155" s="261">
        <f t="shared" si="10"/>
        <v>0.3183091418</v>
      </c>
      <c r="E155" s="262">
        <f t="shared" si="11"/>
        <v>25.4</v>
      </c>
      <c r="F155" s="263">
        <f t="shared" si="12"/>
        <v>8.085052203</v>
      </c>
      <c r="G155" s="264">
        <f>C155/Introduction!$I$20</f>
        <v>0.01041666667</v>
      </c>
      <c r="H155" s="265">
        <f t="shared" si="13"/>
        <v>0.003315720227</v>
      </c>
      <c r="I155" s="266">
        <f>E155/Introduction!$I$20</f>
        <v>0.2645833333</v>
      </c>
      <c r="J155" s="267">
        <f t="shared" si="14"/>
        <v>0.08421929378</v>
      </c>
      <c r="K155" s="51"/>
      <c r="L155" s="51"/>
      <c r="M155" s="51"/>
      <c r="N155" s="51"/>
      <c r="O155" s="51"/>
      <c r="P155" s="51"/>
      <c r="Q155" s="51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</row>
    <row r="156" ht="15.75" customHeight="1">
      <c r="A156" s="51"/>
      <c r="B156" s="195" t="s">
        <v>360</v>
      </c>
      <c r="C156" s="119">
        <f>C164</f>
        <v>2</v>
      </c>
      <c r="D156" s="261">
        <f t="shared" si="10"/>
        <v>0.6366182837</v>
      </c>
      <c r="E156" s="262">
        <f t="shared" si="11"/>
        <v>50.8</v>
      </c>
      <c r="F156" s="263">
        <f t="shared" si="12"/>
        <v>16.17010441</v>
      </c>
      <c r="G156" s="264">
        <f>C156/Introduction!$I$20</f>
        <v>0.02083333333</v>
      </c>
      <c r="H156" s="265">
        <f t="shared" si="13"/>
        <v>0.006631440455</v>
      </c>
      <c r="I156" s="266">
        <f>E156/Introduction!$I$20</f>
        <v>0.5291666667</v>
      </c>
      <c r="J156" s="267">
        <f t="shared" si="14"/>
        <v>0.1684385876</v>
      </c>
      <c r="K156" s="51"/>
      <c r="L156" s="51"/>
      <c r="M156" s="51"/>
      <c r="N156" s="51"/>
      <c r="O156" s="51"/>
      <c r="P156" s="51"/>
      <c r="Q156" s="51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</row>
    <row r="157" ht="15.75" customHeight="1">
      <c r="A157" s="51"/>
      <c r="B157" s="195" t="s">
        <v>361</v>
      </c>
      <c r="C157" s="119">
        <v>1.5</v>
      </c>
      <c r="D157" s="261">
        <f t="shared" si="10"/>
        <v>0.4774637128</v>
      </c>
      <c r="E157" s="262">
        <f t="shared" si="11"/>
        <v>38.1</v>
      </c>
      <c r="F157" s="263">
        <f t="shared" si="12"/>
        <v>12.1275783</v>
      </c>
      <c r="G157" s="264">
        <f>C157/Introduction!$I$20</f>
        <v>0.015625</v>
      </c>
      <c r="H157" s="265">
        <f t="shared" si="13"/>
        <v>0.004973580341</v>
      </c>
      <c r="I157" s="266">
        <f>E157/Introduction!$I$20</f>
        <v>0.396875</v>
      </c>
      <c r="J157" s="267">
        <f t="shared" si="14"/>
        <v>0.1263289407</v>
      </c>
      <c r="K157" s="51"/>
      <c r="L157" s="51"/>
      <c r="M157" s="51"/>
      <c r="N157" s="51"/>
      <c r="O157" s="51"/>
      <c r="P157" s="51"/>
      <c r="Q157" s="51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</row>
    <row r="158" ht="15.75" customHeight="1">
      <c r="A158" s="51"/>
      <c r="B158" s="250" t="s">
        <v>362</v>
      </c>
      <c r="C158" s="269">
        <f>C144</f>
        <v>2.965611181</v>
      </c>
      <c r="D158" s="270">
        <f t="shared" si="10"/>
        <v>0.9439811501</v>
      </c>
      <c r="E158" s="271">
        <f t="shared" si="11"/>
        <v>75.326524</v>
      </c>
      <c r="F158" s="272">
        <f t="shared" si="12"/>
        <v>23.97712121</v>
      </c>
      <c r="G158" s="273">
        <f>C158/Introduction!$I$20</f>
        <v>0.03089178314</v>
      </c>
      <c r="H158" s="274">
        <f t="shared" si="13"/>
        <v>0.00983313698</v>
      </c>
      <c r="I158" s="275">
        <f>E158/Introduction!$I$20</f>
        <v>0.7846512917</v>
      </c>
      <c r="J158" s="276">
        <f t="shared" si="14"/>
        <v>0.2497616793</v>
      </c>
      <c r="K158" s="51"/>
      <c r="L158" s="51"/>
      <c r="M158" s="51"/>
      <c r="N158" s="51"/>
      <c r="O158" s="51"/>
      <c r="P158" s="51"/>
      <c r="Q158" s="51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</row>
    <row r="159" ht="15.75" customHeight="1">
      <c r="A159" s="51"/>
      <c r="B159" s="195" t="s">
        <v>359</v>
      </c>
      <c r="C159" s="119">
        <f>C158/2</f>
        <v>1.482805591</v>
      </c>
      <c r="D159" s="261">
        <f t="shared" si="10"/>
        <v>0.471990575</v>
      </c>
      <c r="E159" s="262">
        <f t="shared" si="11"/>
        <v>37.663262</v>
      </c>
      <c r="F159" s="263">
        <f t="shared" si="12"/>
        <v>11.98856061</v>
      </c>
      <c r="G159" s="264">
        <f>C159/Introduction!$I$20</f>
        <v>0.01544589157</v>
      </c>
      <c r="H159" s="265">
        <f t="shared" si="13"/>
        <v>0.00491656849</v>
      </c>
      <c r="I159" s="266">
        <f>E159/Introduction!$I$20</f>
        <v>0.3923256458</v>
      </c>
      <c r="J159" s="267">
        <f t="shared" si="14"/>
        <v>0.1248808396</v>
      </c>
      <c r="K159" s="51"/>
      <c r="L159" s="51"/>
      <c r="M159" s="51"/>
      <c r="N159" s="51"/>
      <c r="O159" s="51"/>
      <c r="P159" s="51"/>
      <c r="Q159" s="51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</row>
    <row r="160" ht="15.75" customHeight="1">
      <c r="A160" s="51"/>
      <c r="B160" s="195" t="s">
        <v>363</v>
      </c>
      <c r="C160" s="119">
        <f>C149*0.7</f>
        <v>1.297454892</v>
      </c>
      <c r="D160" s="261">
        <f t="shared" si="10"/>
        <v>0.4129917532</v>
      </c>
      <c r="E160" s="262">
        <f t="shared" si="11"/>
        <v>32.95535425</v>
      </c>
      <c r="F160" s="263">
        <f t="shared" si="12"/>
        <v>10.48999053</v>
      </c>
      <c r="G160" s="264">
        <f>C160/Introduction!$I$20</f>
        <v>0.01351515512</v>
      </c>
      <c r="H160" s="265">
        <f t="shared" si="13"/>
        <v>0.004301997429</v>
      </c>
      <c r="I160" s="266">
        <f>E160/Introduction!$I$20</f>
        <v>0.3432849401</v>
      </c>
      <c r="J160" s="267">
        <f t="shared" si="14"/>
        <v>0.1092707347</v>
      </c>
      <c r="K160" s="51"/>
      <c r="L160" s="51"/>
      <c r="M160" s="51"/>
      <c r="N160" s="51"/>
      <c r="O160" s="51"/>
      <c r="P160" s="51"/>
      <c r="Q160" s="51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</row>
    <row r="161" ht="15.75" customHeight="1">
      <c r="A161" s="51"/>
      <c r="B161" s="195" t="s">
        <v>364</v>
      </c>
      <c r="C161" s="119">
        <f>C149*0.45</f>
        <v>0.8340781447</v>
      </c>
      <c r="D161" s="261">
        <f t="shared" si="10"/>
        <v>0.2654946985</v>
      </c>
      <c r="E161" s="262">
        <f t="shared" si="11"/>
        <v>21.18558487</v>
      </c>
      <c r="F161" s="263">
        <f t="shared" si="12"/>
        <v>6.743565341</v>
      </c>
      <c r="G161" s="264">
        <f>C161/Introduction!$I$20</f>
        <v>0.008688314007</v>
      </c>
      <c r="H161" s="265">
        <f t="shared" si="13"/>
        <v>0.002765569776</v>
      </c>
      <c r="I161" s="266">
        <f>E161/Introduction!$I$20</f>
        <v>0.2206831758</v>
      </c>
      <c r="J161" s="267">
        <f t="shared" si="14"/>
        <v>0.0702454723</v>
      </c>
      <c r="K161" s="51"/>
      <c r="L161" s="51"/>
      <c r="M161" s="51"/>
      <c r="N161" s="51"/>
      <c r="O161" s="51"/>
      <c r="P161" s="51"/>
      <c r="Q161" s="51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</row>
    <row r="162" ht="15.75" customHeight="1">
      <c r="A162" s="51"/>
      <c r="B162" s="195" t="s">
        <v>365</v>
      </c>
      <c r="C162" s="119">
        <f>C154</f>
        <v>2</v>
      </c>
      <c r="D162" s="261">
        <f t="shared" si="10"/>
        <v>0.6366182837</v>
      </c>
      <c r="E162" s="262">
        <f t="shared" si="11"/>
        <v>50.8</v>
      </c>
      <c r="F162" s="263">
        <f t="shared" si="12"/>
        <v>16.17010441</v>
      </c>
      <c r="G162" s="264">
        <f>C162/Introduction!$I$20</f>
        <v>0.02083333333</v>
      </c>
      <c r="H162" s="265">
        <f t="shared" si="13"/>
        <v>0.006631440455</v>
      </c>
      <c r="I162" s="266">
        <f>E162/Introduction!$I$20</f>
        <v>0.5291666667</v>
      </c>
      <c r="J162" s="267">
        <f t="shared" si="14"/>
        <v>0.1684385876</v>
      </c>
      <c r="K162" s="51"/>
      <c r="L162" s="51"/>
      <c r="M162" s="51"/>
      <c r="N162" s="51"/>
      <c r="O162" s="51"/>
      <c r="P162" s="51"/>
      <c r="Q162" s="51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</row>
    <row r="163" ht="15.75" customHeight="1">
      <c r="A163" s="51"/>
      <c r="B163" s="195" t="s">
        <v>366</v>
      </c>
      <c r="C163" s="119">
        <f>C162/2</f>
        <v>1</v>
      </c>
      <c r="D163" s="261">
        <f t="shared" si="10"/>
        <v>0.3183091418</v>
      </c>
      <c r="E163" s="262">
        <f t="shared" si="11"/>
        <v>25.4</v>
      </c>
      <c r="F163" s="263">
        <f t="shared" si="12"/>
        <v>8.085052203</v>
      </c>
      <c r="G163" s="264">
        <f>C163/Introduction!$I$20</f>
        <v>0.01041666667</v>
      </c>
      <c r="H163" s="265">
        <f t="shared" si="13"/>
        <v>0.003315720227</v>
      </c>
      <c r="I163" s="266">
        <f>E163/Introduction!$I$20</f>
        <v>0.2645833333</v>
      </c>
      <c r="J163" s="267">
        <f t="shared" si="14"/>
        <v>0.08421929378</v>
      </c>
      <c r="K163" s="51"/>
      <c r="L163" s="51"/>
      <c r="M163" s="51"/>
      <c r="N163" s="51"/>
      <c r="O163" s="51"/>
      <c r="P163" s="51"/>
      <c r="Q163" s="51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</row>
    <row r="164" ht="15.75" customHeight="1">
      <c r="A164" s="51"/>
      <c r="B164" s="196" t="s">
        <v>367</v>
      </c>
      <c r="C164" s="189">
        <f>C137</f>
        <v>2</v>
      </c>
      <c r="D164" s="261">
        <f t="shared" si="10"/>
        <v>0.6366182837</v>
      </c>
      <c r="E164" s="262">
        <f t="shared" si="11"/>
        <v>50.8</v>
      </c>
      <c r="F164" s="263">
        <f t="shared" si="12"/>
        <v>16.17010441</v>
      </c>
      <c r="G164" s="264">
        <f>C164/Introduction!$I$20</f>
        <v>0.02083333333</v>
      </c>
      <c r="H164" s="265">
        <f t="shared" si="13"/>
        <v>0.006631440455</v>
      </c>
      <c r="I164" s="266">
        <f>E164/Introduction!$I$20</f>
        <v>0.5291666667</v>
      </c>
      <c r="J164" s="267">
        <f t="shared" si="14"/>
        <v>0.1684385876</v>
      </c>
      <c r="K164" s="51"/>
      <c r="L164" s="51"/>
      <c r="M164" s="51"/>
      <c r="N164" s="51"/>
      <c r="O164" s="51"/>
      <c r="P164" s="51"/>
      <c r="Q164" s="51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</row>
    <row r="165" ht="15.75" customHeight="1">
      <c r="A165" s="51"/>
      <c r="B165" s="196" t="s">
        <v>368</v>
      </c>
      <c r="C165" s="197">
        <f>C137/2</f>
        <v>1</v>
      </c>
      <c r="D165" s="261">
        <f t="shared" si="10"/>
        <v>0.3183091418</v>
      </c>
      <c r="E165" s="262">
        <f t="shared" si="11"/>
        <v>25.4</v>
      </c>
      <c r="F165" s="263">
        <f t="shared" si="12"/>
        <v>8.085052203</v>
      </c>
      <c r="G165" s="264">
        <f>C165/Introduction!$I$20</f>
        <v>0.01041666667</v>
      </c>
      <c r="H165" s="265">
        <f t="shared" si="13"/>
        <v>0.003315720227</v>
      </c>
      <c r="I165" s="266">
        <f>E165/Introduction!$I$20</f>
        <v>0.2645833333</v>
      </c>
      <c r="J165" s="267">
        <f t="shared" si="14"/>
        <v>0.08421929378</v>
      </c>
      <c r="K165" s="51"/>
      <c r="L165" s="51"/>
      <c r="M165" s="51"/>
      <c r="N165" s="51"/>
      <c r="O165" s="51"/>
      <c r="P165" s="51"/>
      <c r="Q165" s="51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</row>
    <row r="166" ht="15.75" customHeight="1">
      <c r="A166" s="51"/>
      <c r="B166" s="196" t="s">
        <v>369</v>
      </c>
      <c r="C166" s="197">
        <f>C126</f>
        <v>3.707013976</v>
      </c>
      <c r="D166" s="261">
        <f t="shared" si="10"/>
        <v>1.179976438</v>
      </c>
      <c r="E166" s="262">
        <f t="shared" si="11"/>
        <v>94.158155</v>
      </c>
      <c r="F166" s="263">
        <f t="shared" si="12"/>
        <v>29.97140152</v>
      </c>
      <c r="G166" s="264">
        <f>C166/Introduction!$I$20</f>
        <v>0.03861472892</v>
      </c>
      <c r="H166" s="265">
        <f t="shared" si="13"/>
        <v>0.01229142122</v>
      </c>
      <c r="I166" s="266">
        <f>E166/Introduction!$I$20</f>
        <v>0.9808141146</v>
      </c>
      <c r="J166" s="267">
        <f t="shared" si="14"/>
        <v>0.3122020991</v>
      </c>
      <c r="K166" s="51"/>
      <c r="L166" s="51"/>
      <c r="M166" s="51"/>
      <c r="N166" s="51"/>
      <c r="O166" s="51"/>
      <c r="P166" s="51"/>
      <c r="Q166" s="51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</row>
    <row r="167" ht="15.75" customHeight="1">
      <c r="A167" s="51"/>
      <c r="B167" s="196" t="s">
        <v>370</v>
      </c>
      <c r="C167" s="197">
        <f>C166/2</f>
        <v>1.853506988</v>
      </c>
      <c r="D167" s="261">
        <f t="shared" si="10"/>
        <v>0.5899882188</v>
      </c>
      <c r="E167" s="262">
        <f t="shared" si="11"/>
        <v>47.0790775</v>
      </c>
      <c r="F167" s="263">
        <f t="shared" si="12"/>
        <v>14.98570076</v>
      </c>
      <c r="G167" s="264">
        <f>C167/Introduction!$I$20</f>
        <v>0.01930736446</v>
      </c>
      <c r="H167" s="265">
        <f t="shared" si="13"/>
        <v>0.006145710612</v>
      </c>
      <c r="I167" s="266">
        <f>E167/Introduction!$I$20</f>
        <v>0.4904070573</v>
      </c>
      <c r="J167" s="267">
        <f t="shared" si="14"/>
        <v>0.1561010496</v>
      </c>
      <c r="K167" s="51"/>
      <c r="L167" s="51"/>
      <c r="M167" s="51"/>
      <c r="N167" s="51"/>
      <c r="O167" s="51"/>
      <c r="P167" s="51"/>
      <c r="Q167" s="51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</row>
    <row r="168" ht="15.75" customHeight="1">
      <c r="A168" s="51"/>
      <c r="B168" s="195" t="s">
        <v>371</v>
      </c>
      <c r="C168" s="119">
        <f>$C$75*0.2</f>
        <v>1.309667542</v>
      </c>
      <c r="D168" s="261">
        <f t="shared" si="10"/>
        <v>0.4168791512</v>
      </c>
      <c r="E168" s="262">
        <f t="shared" si="11"/>
        <v>33.26555556</v>
      </c>
      <c r="F168" s="263">
        <f t="shared" si="12"/>
        <v>10.58873044</v>
      </c>
      <c r="G168" s="264">
        <f>C168/Introduction!$I$20</f>
        <v>0.01364237022</v>
      </c>
      <c r="H168" s="265">
        <f t="shared" si="13"/>
        <v>0.004342491159</v>
      </c>
      <c r="I168" s="266">
        <f>E168/Introduction!$I$20</f>
        <v>0.3465162037</v>
      </c>
      <c r="J168" s="267">
        <f t="shared" si="14"/>
        <v>0.1102992754</v>
      </c>
      <c r="K168" s="51"/>
      <c r="L168" s="51"/>
      <c r="M168" s="51"/>
      <c r="N168" s="51"/>
      <c r="O168" s="51"/>
      <c r="P168" s="51"/>
      <c r="Q168" s="51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</row>
    <row r="169" ht="15.75" customHeight="1">
      <c r="A169" s="51"/>
      <c r="B169" s="195" t="s">
        <v>372</v>
      </c>
      <c r="C169" s="119">
        <v>1.5</v>
      </c>
      <c r="D169" s="261">
        <f t="shared" si="10"/>
        <v>0.4774637128</v>
      </c>
      <c r="E169" s="262">
        <f t="shared" si="11"/>
        <v>38.1</v>
      </c>
      <c r="F169" s="263">
        <f t="shared" si="12"/>
        <v>12.1275783</v>
      </c>
      <c r="G169" s="264">
        <f>C169/Introduction!$I$20</f>
        <v>0.015625</v>
      </c>
      <c r="H169" s="265">
        <f t="shared" si="13"/>
        <v>0.004973580341</v>
      </c>
      <c r="I169" s="266">
        <f>E169/Introduction!$I$20</f>
        <v>0.396875</v>
      </c>
      <c r="J169" s="267">
        <f t="shared" si="14"/>
        <v>0.1263289407</v>
      </c>
      <c r="K169" s="51"/>
      <c r="L169" s="51"/>
      <c r="M169" s="51"/>
      <c r="N169" s="51"/>
      <c r="O169" s="51"/>
      <c r="P169" s="51"/>
      <c r="Q169" s="51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</row>
    <row r="170" ht="15.75" customHeight="1">
      <c r="A170" s="51"/>
      <c r="B170" s="198" t="s">
        <v>373</v>
      </c>
      <c r="C170" s="185">
        <v>1.5</v>
      </c>
      <c r="D170" s="128">
        <f t="shared" si="10"/>
        <v>0.4774637128</v>
      </c>
      <c r="E170" s="129">
        <f t="shared" si="11"/>
        <v>38.1</v>
      </c>
      <c r="F170" s="130">
        <f t="shared" si="12"/>
        <v>12.1275783</v>
      </c>
      <c r="G170" s="131">
        <f>C170/Introduction!$I$20</f>
        <v>0.015625</v>
      </c>
      <c r="H170" s="187">
        <f t="shared" si="13"/>
        <v>0.004973580341</v>
      </c>
      <c r="I170" s="133">
        <f>E170/Introduction!$I$20</f>
        <v>0.396875</v>
      </c>
      <c r="J170" s="135">
        <f t="shared" si="14"/>
        <v>0.1263289407</v>
      </c>
      <c r="K170" s="51"/>
      <c r="L170" s="51"/>
      <c r="M170" s="51"/>
      <c r="N170" s="51"/>
      <c r="O170" s="51"/>
      <c r="P170" s="51"/>
      <c r="Q170" s="51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</row>
    <row r="171" ht="15.75" customHeight="1">
      <c r="A171" s="51"/>
      <c r="B171" s="194" t="s">
        <v>374</v>
      </c>
      <c r="C171" s="109">
        <f>C44</f>
        <v>3.536102362</v>
      </c>
      <c r="D171" s="270">
        <f t="shared" si="10"/>
        <v>1.125573708</v>
      </c>
      <c r="E171" s="271">
        <f t="shared" si="11"/>
        <v>89.817</v>
      </c>
      <c r="F171" s="272">
        <f t="shared" si="12"/>
        <v>28.58957219</v>
      </c>
      <c r="G171" s="273">
        <f>C171/Introduction!$I$20</f>
        <v>0.03683439961</v>
      </c>
      <c r="H171" s="274">
        <f t="shared" si="13"/>
        <v>0.01172472613</v>
      </c>
      <c r="I171" s="275">
        <f>E171/Introduction!$I$20</f>
        <v>0.93559375</v>
      </c>
      <c r="J171" s="276">
        <f t="shared" si="14"/>
        <v>0.2978080437</v>
      </c>
      <c r="K171" s="51"/>
      <c r="L171" s="51"/>
      <c r="M171" s="51"/>
      <c r="N171" s="51"/>
      <c r="O171" s="51"/>
      <c r="P171" s="51"/>
      <c r="Q171" s="51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</row>
    <row r="172" ht="15.75" customHeight="1">
      <c r="A172" s="51"/>
      <c r="B172" s="195" t="s">
        <v>375</v>
      </c>
      <c r="C172" s="119">
        <f t="shared" ref="C172:C173" si="68">C171*0.66</f>
        <v>2.333827559</v>
      </c>
      <c r="D172" s="261">
        <f t="shared" si="10"/>
        <v>0.7428786475</v>
      </c>
      <c r="E172" s="262">
        <f t="shared" si="11"/>
        <v>59.27922</v>
      </c>
      <c r="F172" s="263">
        <f t="shared" si="12"/>
        <v>18.86911765</v>
      </c>
      <c r="G172" s="264">
        <f>C172/Introduction!$I$20</f>
        <v>0.02431070374</v>
      </c>
      <c r="H172" s="265">
        <f t="shared" si="13"/>
        <v>0.007738319245</v>
      </c>
      <c r="I172" s="266">
        <f>E172/Introduction!$I$20</f>
        <v>0.617491875</v>
      </c>
      <c r="J172" s="267">
        <f t="shared" si="14"/>
        <v>0.1965533088</v>
      </c>
      <c r="K172" s="51"/>
      <c r="L172" s="51"/>
      <c r="M172" s="51"/>
      <c r="N172" s="51"/>
      <c r="O172" s="51"/>
      <c r="P172" s="51"/>
      <c r="Q172" s="51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</row>
    <row r="173" ht="15.75" customHeight="1">
      <c r="A173" s="51"/>
      <c r="B173" s="195" t="s">
        <v>376</v>
      </c>
      <c r="C173" s="119">
        <f t="shared" si="68"/>
        <v>1.540326189</v>
      </c>
      <c r="D173" s="261">
        <f t="shared" si="10"/>
        <v>0.4902999074</v>
      </c>
      <c r="E173" s="262">
        <f t="shared" si="11"/>
        <v>39.1242852</v>
      </c>
      <c r="F173" s="263">
        <f t="shared" si="12"/>
        <v>12.45361765</v>
      </c>
      <c r="G173" s="264">
        <f>C173/Introduction!$I$20</f>
        <v>0.01604506447</v>
      </c>
      <c r="H173" s="265">
        <f t="shared" si="13"/>
        <v>0.005107290702</v>
      </c>
      <c r="I173" s="266">
        <f>E173/Introduction!$I$20</f>
        <v>0.4075446375</v>
      </c>
      <c r="J173" s="267">
        <f t="shared" si="14"/>
        <v>0.1297251838</v>
      </c>
      <c r="K173" s="51"/>
      <c r="L173" s="51"/>
      <c r="M173" s="51"/>
      <c r="N173" s="51"/>
      <c r="O173" s="51"/>
      <c r="P173" s="51"/>
      <c r="Q173" s="51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</row>
    <row r="174" ht="15.75" customHeight="1">
      <c r="A174" s="51"/>
      <c r="B174" s="199" t="s">
        <v>377</v>
      </c>
      <c r="C174" s="119">
        <f>C93</f>
        <v>3.929002625</v>
      </c>
      <c r="D174" s="261">
        <f t="shared" si="10"/>
        <v>1.250637454</v>
      </c>
      <c r="E174" s="262">
        <f t="shared" si="11"/>
        <v>99.79666667</v>
      </c>
      <c r="F174" s="263">
        <f t="shared" si="12"/>
        <v>31.76619132</v>
      </c>
      <c r="G174" s="264">
        <f>C174/Introduction!$I$20</f>
        <v>0.04092711067</v>
      </c>
      <c r="H174" s="265">
        <f t="shared" si="13"/>
        <v>0.01302747348</v>
      </c>
      <c r="I174" s="266">
        <f>E174/Introduction!$I$20</f>
        <v>1.039548611</v>
      </c>
      <c r="J174" s="267">
        <f t="shared" si="14"/>
        <v>0.3308978263</v>
      </c>
      <c r="K174" s="51"/>
      <c r="L174" s="51"/>
      <c r="M174" s="51"/>
      <c r="N174" s="51"/>
      <c r="O174" s="51"/>
      <c r="P174" s="51"/>
      <c r="Q174" s="51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</row>
    <row r="175" ht="15.75" customHeight="1">
      <c r="A175" s="51"/>
      <c r="B175" s="195" t="s">
        <v>378</v>
      </c>
      <c r="C175" s="119">
        <f t="shared" ref="C175:C176" si="69">C174*0.66</f>
        <v>2.593141732</v>
      </c>
      <c r="D175" s="261">
        <f t="shared" si="10"/>
        <v>0.8254207195</v>
      </c>
      <c r="E175" s="262">
        <f t="shared" si="11"/>
        <v>65.8658</v>
      </c>
      <c r="F175" s="263">
        <f t="shared" si="12"/>
        <v>20.96568627</v>
      </c>
      <c r="G175" s="264">
        <f>C175/Introduction!$I$20</f>
        <v>0.02701189304</v>
      </c>
      <c r="H175" s="265">
        <f t="shared" si="13"/>
        <v>0.008598132494</v>
      </c>
      <c r="I175" s="266">
        <f>E175/Introduction!$I$20</f>
        <v>0.6861020833</v>
      </c>
      <c r="J175" s="267">
        <f t="shared" si="14"/>
        <v>0.2183925654</v>
      </c>
      <c r="K175" s="51"/>
      <c r="L175" s="51"/>
      <c r="M175" s="51"/>
      <c r="N175" s="51"/>
      <c r="O175" s="51"/>
      <c r="P175" s="51"/>
      <c r="Q175" s="51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</row>
    <row r="176" ht="15.75" customHeight="1">
      <c r="A176" s="51"/>
      <c r="B176" s="195" t="s">
        <v>379</v>
      </c>
      <c r="C176" s="119">
        <f t="shared" si="69"/>
        <v>1.711473543</v>
      </c>
      <c r="D176" s="261">
        <f t="shared" si="10"/>
        <v>0.5447776748</v>
      </c>
      <c r="E176" s="262">
        <f t="shared" si="11"/>
        <v>43.471428</v>
      </c>
      <c r="F176" s="263">
        <f t="shared" si="12"/>
        <v>13.83735294</v>
      </c>
      <c r="G176" s="264">
        <f>C176/Introduction!$I$20</f>
        <v>0.01782784941</v>
      </c>
      <c r="H176" s="265">
        <f t="shared" si="13"/>
        <v>0.005674767446</v>
      </c>
      <c r="I176" s="266">
        <f>E176/Introduction!$I$20</f>
        <v>0.452827375</v>
      </c>
      <c r="J176" s="267">
        <f t="shared" si="14"/>
        <v>0.1441390931</v>
      </c>
      <c r="K176" s="51"/>
      <c r="L176" s="51"/>
      <c r="M176" s="51"/>
      <c r="N176" s="51"/>
      <c r="O176" s="51"/>
      <c r="P176" s="51"/>
      <c r="Q176" s="51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</row>
    <row r="177" ht="15.75" customHeight="1">
      <c r="A177" s="51"/>
      <c r="B177" s="195" t="s">
        <v>380</v>
      </c>
      <c r="C177" s="119">
        <f>C174*0.9</f>
        <v>3.536102362</v>
      </c>
      <c r="D177" s="261">
        <f t="shared" si="10"/>
        <v>1.125573708</v>
      </c>
      <c r="E177" s="262">
        <f t="shared" si="11"/>
        <v>89.817</v>
      </c>
      <c r="F177" s="263">
        <f t="shared" si="12"/>
        <v>28.58957219</v>
      </c>
      <c r="G177" s="264">
        <f>C177/Introduction!$I$20</f>
        <v>0.03683439961</v>
      </c>
      <c r="H177" s="265">
        <f t="shared" si="13"/>
        <v>0.01172472613</v>
      </c>
      <c r="I177" s="266">
        <f>E177/Introduction!$I$20</f>
        <v>0.93559375</v>
      </c>
      <c r="J177" s="267">
        <f t="shared" si="14"/>
        <v>0.2978080437</v>
      </c>
      <c r="K177" s="241"/>
      <c r="L177" s="51"/>
      <c r="M177" s="51"/>
      <c r="N177" s="51"/>
      <c r="O177" s="51"/>
      <c r="P177" s="51"/>
      <c r="Q177" s="51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</row>
    <row r="178" ht="15.75" customHeight="1">
      <c r="A178" s="51"/>
      <c r="B178" s="195" t="s">
        <v>381</v>
      </c>
      <c r="C178" s="119">
        <f>C177*0.8</f>
        <v>2.82888189</v>
      </c>
      <c r="D178" s="261">
        <f t="shared" si="10"/>
        <v>0.9004589667</v>
      </c>
      <c r="E178" s="262">
        <f t="shared" si="11"/>
        <v>71.8536</v>
      </c>
      <c r="F178" s="263">
        <f t="shared" si="12"/>
        <v>22.87165775</v>
      </c>
      <c r="G178" s="264">
        <f>C178/Introduction!$I$20</f>
        <v>0.02946751968</v>
      </c>
      <c r="H178" s="265">
        <f t="shared" si="13"/>
        <v>0.009379780903</v>
      </c>
      <c r="I178" s="266">
        <f>E178/Introduction!$I$20</f>
        <v>0.748475</v>
      </c>
      <c r="J178" s="267">
        <f t="shared" si="14"/>
        <v>0.2382464349</v>
      </c>
      <c r="K178" s="241"/>
      <c r="L178" s="51"/>
      <c r="M178" s="51"/>
      <c r="N178" s="51"/>
      <c r="O178" s="51"/>
      <c r="P178" s="51"/>
      <c r="Q178" s="51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</row>
    <row r="179" ht="15.75" customHeight="1">
      <c r="A179" s="51"/>
      <c r="B179" s="195" t="s">
        <v>382</v>
      </c>
      <c r="C179" s="119">
        <f>C176</f>
        <v>1.711473543</v>
      </c>
      <c r="D179" s="261">
        <f t="shared" si="10"/>
        <v>0.5447776748</v>
      </c>
      <c r="E179" s="262">
        <f t="shared" si="11"/>
        <v>43.471428</v>
      </c>
      <c r="F179" s="263">
        <f t="shared" si="12"/>
        <v>13.83735294</v>
      </c>
      <c r="G179" s="264">
        <f>C179/Introduction!$I$20</f>
        <v>0.01782784941</v>
      </c>
      <c r="H179" s="265">
        <f t="shared" si="13"/>
        <v>0.005674767446</v>
      </c>
      <c r="I179" s="266">
        <f>E179/Introduction!$I$20</f>
        <v>0.452827375</v>
      </c>
      <c r="J179" s="267">
        <f t="shared" si="14"/>
        <v>0.1441390931</v>
      </c>
      <c r="K179" s="241"/>
      <c r="L179" s="51"/>
      <c r="M179" s="51"/>
      <c r="N179" s="51"/>
      <c r="O179" s="51"/>
      <c r="P179" s="51"/>
      <c r="Q179" s="51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</row>
    <row r="180" ht="15.75" customHeight="1">
      <c r="A180" s="51"/>
      <c r="B180" s="195" t="s">
        <v>383</v>
      </c>
      <c r="C180" s="119">
        <f>C176</f>
        <v>1.711473543</v>
      </c>
      <c r="D180" s="261">
        <f t="shared" si="10"/>
        <v>0.5447776748</v>
      </c>
      <c r="E180" s="262">
        <f t="shared" si="11"/>
        <v>43.471428</v>
      </c>
      <c r="F180" s="263">
        <f t="shared" si="12"/>
        <v>13.83735294</v>
      </c>
      <c r="G180" s="264">
        <f>C180/Introduction!$I$20</f>
        <v>0.01782784941</v>
      </c>
      <c r="H180" s="265">
        <f t="shared" si="13"/>
        <v>0.005674767446</v>
      </c>
      <c r="I180" s="266">
        <f>E180/Introduction!$I$20</f>
        <v>0.452827375</v>
      </c>
      <c r="J180" s="267">
        <f t="shared" si="14"/>
        <v>0.1441390931</v>
      </c>
      <c r="K180" s="241"/>
      <c r="L180" s="51"/>
      <c r="M180" s="51"/>
      <c r="N180" s="51"/>
      <c r="O180" s="51"/>
      <c r="P180" s="51"/>
      <c r="Q180" s="51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</row>
    <row r="181" ht="15.75" customHeight="1">
      <c r="A181" s="51"/>
      <c r="B181" s="195" t="s">
        <v>384</v>
      </c>
      <c r="C181" s="119">
        <f>C75*0.35</f>
        <v>2.291918198</v>
      </c>
      <c r="D181" s="261">
        <f t="shared" si="10"/>
        <v>0.7295385147</v>
      </c>
      <c r="E181" s="262">
        <f t="shared" si="11"/>
        <v>58.21472222</v>
      </c>
      <c r="F181" s="263">
        <f t="shared" si="12"/>
        <v>18.53027827</v>
      </c>
      <c r="G181" s="264">
        <f>C181/Introduction!$I$20</f>
        <v>0.02387414789</v>
      </c>
      <c r="H181" s="265">
        <f t="shared" si="13"/>
        <v>0.007599359528</v>
      </c>
      <c r="I181" s="266">
        <f>E181/Introduction!$I$20</f>
        <v>0.6064033565</v>
      </c>
      <c r="J181" s="267">
        <f t="shared" si="14"/>
        <v>0.193023732</v>
      </c>
      <c r="K181" s="241"/>
      <c r="L181" s="51"/>
      <c r="M181" s="51"/>
      <c r="N181" s="51"/>
      <c r="O181" s="51"/>
      <c r="P181" s="51"/>
      <c r="Q181" s="51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</row>
    <row r="182" ht="15.75" customHeight="1">
      <c r="A182" s="51"/>
      <c r="B182" s="195" t="s">
        <v>385</v>
      </c>
      <c r="C182" s="119">
        <f>AM136</f>
        <v>3</v>
      </c>
      <c r="D182" s="261">
        <f t="shared" si="10"/>
        <v>0.9549274255</v>
      </c>
      <c r="E182" s="262">
        <f t="shared" si="11"/>
        <v>76.2</v>
      </c>
      <c r="F182" s="263">
        <f t="shared" si="12"/>
        <v>24.25515661</v>
      </c>
      <c r="G182" s="264">
        <f>C182/Introduction!$I$20</f>
        <v>0.03125</v>
      </c>
      <c r="H182" s="265">
        <f t="shared" si="13"/>
        <v>0.009947160682</v>
      </c>
      <c r="I182" s="266">
        <f>E182/Introduction!$I$20</f>
        <v>0.79375</v>
      </c>
      <c r="J182" s="267">
        <f t="shared" si="14"/>
        <v>0.2526578813</v>
      </c>
      <c r="K182" s="241"/>
      <c r="L182" s="51"/>
      <c r="M182" s="51"/>
      <c r="N182" s="51"/>
      <c r="O182" s="51"/>
      <c r="P182" s="51"/>
      <c r="Q182" s="51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</row>
    <row r="183" ht="15.75" customHeight="1">
      <c r="A183" s="51"/>
      <c r="B183" s="195" t="s">
        <v>386</v>
      </c>
      <c r="C183" s="119">
        <f>C77</f>
        <v>4.583836395</v>
      </c>
      <c r="D183" s="261">
        <f t="shared" si="10"/>
        <v>1.459077029</v>
      </c>
      <c r="E183" s="262">
        <f t="shared" si="11"/>
        <v>116.4294444</v>
      </c>
      <c r="F183" s="263">
        <f t="shared" si="12"/>
        <v>37.06055655</v>
      </c>
      <c r="G183" s="264">
        <f>C183/Introduction!$I$20</f>
        <v>0.04774829579</v>
      </c>
      <c r="H183" s="265">
        <f t="shared" si="13"/>
        <v>0.01519871906</v>
      </c>
      <c r="I183" s="266">
        <f>E183/Introduction!$I$20</f>
        <v>1.212806713</v>
      </c>
      <c r="J183" s="267">
        <f t="shared" si="14"/>
        <v>0.386047464</v>
      </c>
      <c r="K183" s="241"/>
      <c r="L183" s="51"/>
      <c r="M183" s="51"/>
      <c r="N183" s="51"/>
      <c r="O183" s="51"/>
      <c r="P183" s="51"/>
      <c r="Q183" s="51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</row>
    <row r="184" ht="15.75" customHeight="1">
      <c r="A184" s="51"/>
      <c r="B184" s="198" t="s">
        <v>387</v>
      </c>
      <c r="C184" s="127">
        <f>C183/2</f>
        <v>2.291918198</v>
      </c>
      <c r="D184" s="128">
        <f t="shared" si="10"/>
        <v>0.7295385147</v>
      </c>
      <c r="E184" s="129">
        <f t="shared" si="11"/>
        <v>58.21472222</v>
      </c>
      <c r="F184" s="130">
        <f t="shared" si="12"/>
        <v>18.53027827</v>
      </c>
      <c r="G184" s="131">
        <f>C184/Introduction!$I$20</f>
        <v>0.02387414789</v>
      </c>
      <c r="H184" s="187">
        <f t="shared" si="13"/>
        <v>0.007599359528</v>
      </c>
      <c r="I184" s="133">
        <f>E184/Introduction!$I$20</f>
        <v>0.6064033565</v>
      </c>
      <c r="J184" s="135">
        <f t="shared" si="14"/>
        <v>0.193023732</v>
      </c>
      <c r="K184" s="241"/>
      <c r="L184" s="51"/>
      <c r="M184" s="51"/>
      <c r="N184" s="51"/>
      <c r="O184" s="51"/>
      <c r="P184" s="51"/>
      <c r="Q184" s="51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</row>
    <row r="185" ht="15.75" customHeight="1">
      <c r="A185" s="51"/>
      <c r="B185" s="51"/>
      <c r="C185" s="51"/>
      <c r="D185" s="241"/>
      <c r="E185" s="241"/>
      <c r="F185" s="241"/>
      <c r="G185" s="241"/>
      <c r="H185" s="241"/>
      <c r="I185" s="241"/>
      <c r="J185" s="241"/>
      <c r="K185" s="241"/>
      <c r="L185" s="51"/>
      <c r="M185" s="51"/>
      <c r="N185" s="51"/>
      <c r="O185" s="51"/>
      <c r="P185" s="51"/>
      <c r="Q185" s="51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</row>
    <row r="186" ht="15.75" customHeight="1">
      <c r="A186" s="51"/>
      <c r="B186" s="51"/>
      <c r="C186" s="51"/>
      <c r="D186" s="241"/>
      <c r="E186" s="241"/>
      <c r="F186" s="241"/>
      <c r="G186" s="241"/>
      <c r="H186" s="241"/>
      <c r="I186" s="241"/>
      <c r="J186" s="241"/>
      <c r="K186" s="241"/>
      <c r="L186" s="51"/>
      <c r="M186" s="51"/>
      <c r="N186" s="51"/>
      <c r="O186" s="51"/>
      <c r="P186" s="51"/>
      <c r="Q186" s="51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</row>
    <row r="187" ht="15.75" customHeight="1">
      <c r="A187" s="51"/>
      <c r="B187" s="51"/>
      <c r="C187" s="51"/>
      <c r="D187" s="241"/>
      <c r="E187" s="241"/>
      <c r="F187" s="241"/>
      <c r="G187" s="241"/>
      <c r="H187" s="241"/>
      <c r="I187" s="241"/>
      <c r="J187" s="241"/>
      <c r="K187" s="241"/>
      <c r="L187" s="51"/>
      <c r="M187" s="51"/>
      <c r="N187" s="51"/>
      <c r="O187" s="51"/>
      <c r="P187" s="51"/>
      <c r="Q187" s="51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</row>
    <row r="188" ht="15.75" customHeight="1">
      <c r="A188" s="51"/>
      <c r="B188" s="51"/>
      <c r="C188" s="51"/>
      <c r="D188" s="241"/>
      <c r="E188" s="241"/>
      <c r="F188" s="241"/>
      <c r="G188" s="241"/>
      <c r="H188" s="241"/>
      <c r="I188" s="241"/>
      <c r="J188" s="241"/>
      <c r="K188" s="241"/>
      <c r="L188" s="51"/>
      <c r="M188" s="51"/>
      <c r="N188" s="51"/>
      <c r="O188" s="51"/>
      <c r="P188" s="51"/>
      <c r="Q188" s="51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</row>
    <row r="189" ht="15.75" customHeight="1">
      <c r="A189" s="51"/>
      <c r="B189" s="51"/>
      <c r="C189" s="51"/>
      <c r="D189" s="241"/>
      <c r="E189" s="241"/>
      <c r="F189" s="241"/>
      <c r="G189" s="241"/>
      <c r="H189" s="241"/>
      <c r="I189" s="241"/>
      <c r="J189" s="241"/>
      <c r="K189" s="241"/>
      <c r="L189" s="51"/>
      <c r="M189" s="51"/>
      <c r="N189" s="51"/>
      <c r="O189" s="51"/>
      <c r="P189" s="51"/>
      <c r="Q189" s="51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</row>
    <row r="190" ht="15.75" customHeight="1">
      <c r="A190" s="51"/>
      <c r="B190" s="51"/>
      <c r="C190" s="51"/>
      <c r="D190" s="241"/>
      <c r="E190" s="241"/>
      <c r="F190" s="241"/>
      <c r="G190" s="241"/>
      <c r="H190" s="241"/>
      <c r="I190" s="241"/>
      <c r="J190" s="241"/>
      <c r="K190" s="241"/>
      <c r="L190" s="51"/>
      <c r="M190" s="51"/>
      <c r="N190" s="51"/>
      <c r="O190" s="51"/>
      <c r="P190" s="51"/>
      <c r="Q190" s="51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</row>
    <row r="191" ht="15.75" customHeight="1">
      <c r="A191" s="51"/>
      <c r="B191" s="51"/>
      <c r="C191" s="51"/>
      <c r="D191" s="241"/>
      <c r="E191" s="241"/>
      <c r="F191" s="241"/>
      <c r="G191" s="241"/>
      <c r="H191" s="241"/>
      <c r="I191" s="241"/>
      <c r="J191" s="241"/>
      <c r="K191" s="241"/>
      <c r="L191" s="51"/>
      <c r="M191" s="51"/>
      <c r="N191" s="51"/>
      <c r="O191" s="51"/>
      <c r="P191" s="51"/>
      <c r="Q191" s="51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</row>
    <row r="192" ht="15.75" customHeight="1">
      <c r="A192" s="51"/>
      <c r="B192" s="51"/>
      <c r="C192" s="51"/>
      <c r="D192" s="241"/>
      <c r="E192" s="241"/>
      <c r="F192" s="241"/>
      <c r="G192" s="241"/>
      <c r="H192" s="241"/>
      <c r="I192" s="241"/>
      <c r="J192" s="241"/>
      <c r="K192" s="241"/>
      <c r="L192" s="51"/>
      <c r="M192" s="51"/>
      <c r="N192" s="51"/>
      <c r="O192" s="51"/>
      <c r="P192" s="51"/>
      <c r="Q192" s="51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</row>
    <row r="193" ht="15.75" customHeight="1">
      <c r="A193" s="51"/>
      <c r="B193" s="51"/>
      <c r="C193" s="51"/>
      <c r="D193" s="241"/>
      <c r="E193" s="241"/>
      <c r="F193" s="241"/>
      <c r="G193" s="241"/>
      <c r="H193" s="241"/>
      <c r="I193" s="241"/>
      <c r="J193" s="241"/>
      <c r="K193" s="241"/>
      <c r="L193" s="51"/>
      <c r="M193" s="51"/>
      <c r="N193" s="51"/>
      <c r="O193" s="51"/>
      <c r="P193" s="51"/>
      <c r="Q193" s="51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</row>
    <row r="194" ht="15.75" customHeight="1">
      <c r="A194" s="51"/>
      <c r="B194" s="51"/>
      <c r="C194" s="51"/>
      <c r="D194" s="241"/>
      <c r="E194" s="241"/>
      <c r="F194" s="241"/>
      <c r="G194" s="241"/>
      <c r="H194" s="241"/>
      <c r="I194" s="241"/>
      <c r="J194" s="241"/>
      <c r="K194" s="241"/>
      <c r="L194" s="51"/>
      <c r="M194" s="51"/>
      <c r="N194" s="51"/>
      <c r="O194" s="51"/>
      <c r="P194" s="51"/>
      <c r="Q194" s="51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</row>
    <row r="195" ht="15.75" customHeight="1">
      <c r="A195" s="51"/>
      <c r="B195" s="51"/>
      <c r="C195" s="51"/>
      <c r="D195" s="241"/>
      <c r="E195" s="241"/>
      <c r="F195" s="241"/>
      <c r="G195" s="241"/>
      <c r="H195" s="241"/>
      <c r="I195" s="241"/>
      <c r="J195" s="241"/>
      <c r="K195" s="241"/>
      <c r="L195" s="51"/>
      <c r="M195" s="51"/>
      <c r="N195" s="51"/>
      <c r="O195" s="51"/>
      <c r="P195" s="51"/>
      <c r="Q195" s="51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</row>
    <row r="196" ht="15.75" customHeight="1">
      <c r="A196" s="51"/>
      <c r="B196" s="51"/>
      <c r="C196" s="51"/>
      <c r="D196" s="241"/>
      <c r="E196" s="241"/>
      <c r="F196" s="241"/>
      <c r="G196" s="241"/>
      <c r="H196" s="241"/>
      <c r="I196" s="241"/>
      <c r="J196" s="241"/>
      <c r="K196" s="241"/>
      <c r="L196" s="51"/>
      <c r="M196" s="51"/>
      <c r="N196" s="51"/>
      <c r="O196" s="51"/>
      <c r="P196" s="51"/>
      <c r="Q196" s="51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</row>
    <row r="197" ht="15.75" customHeight="1">
      <c r="A197" s="51"/>
      <c r="B197" s="51"/>
      <c r="C197" s="51"/>
      <c r="D197" s="241"/>
      <c r="E197" s="241"/>
      <c r="F197" s="241"/>
      <c r="G197" s="241"/>
      <c r="H197" s="241"/>
      <c r="I197" s="241"/>
      <c r="J197" s="241"/>
      <c r="K197" s="241"/>
      <c r="L197" s="51"/>
      <c r="M197" s="51"/>
      <c r="N197" s="51"/>
      <c r="O197" s="51"/>
      <c r="P197" s="51"/>
      <c r="Q197" s="51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</row>
    <row r="198" ht="15.75" customHeight="1">
      <c r="A198" s="51"/>
      <c r="B198" s="51"/>
      <c r="C198" s="51"/>
      <c r="D198" s="241"/>
      <c r="E198" s="241"/>
      <c r="F198" s="241"/>
      <c r="G198" s="241"/>
      <c r="H198" s="241"/>
      <c r="I198" s="241"/>
      <c r="J198" s="241"/>
      <c r="K198" s="241"/>
      <c r="L198" s="51"/>
      <c r="M198" s="51"/>
      <c r="N198" s="51"/>
      <c r="O198" s="51"/>
      <c r="P198" s="51"/>
      <c r="Q198" s="51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</row>
    <row r="199" ht="15.75" customHeight="1">
      <c r="A199" s="51"/>
      <c r="B199" s="51"/>
      <c r="C199" s="51"/>
      <c r="D199" s="241"/>
      <c r="E199" s="241"/>
      <c r="F199" s="241"/>
      <c r="G199" s="241"/>
      <c r="H199" s="241"/>
      <c r="I199" s="241"/>
      <c r="J199" s="241"/>
      <c r="K199" s="241"/>
      <c r="L199" s="51"/>
      <c r="M199" s="51"/>
      <c r="N199" s="51"/>
      <c r="O199" s="51"/>
      <c r="P199" s="51"/>
      <c r="Q199" s="51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</row>
    <row r="200" ht="15.75" customHeight="1">
      <c r="A200" s="51"/>
      <c r="B200" s="51"/>
      <c r="C200" s="51"/>
      <c r="D200" s="241"/>
      <c r="E200" s="241"/>
      <c r="F200" s="241"/>
      <c r="G200" s="241"/>
      <c r="H200" s="241"/>
      <c r="I200" s="241"/>
      <c r="J200" s="241"/>
      <c r="K200" s="241"/>
      <c r="L200" s="51"/>
      <c r="M200" s="51"/>
      <c r="N200" s="51"/>
      <c r="O200" s="51"/>
      <c r="P200" s="51"/>
      <c r="Q200" s="51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</row>
    <row r="201" ht="15.75" customHeight="1">
      <c r="A201" s="51"/>
      <c r="B201" s="51"/>
      <c r="C201" s="51"/>
      <c r="D201" s="241"/>
      <c r="E201" s="241"/>
      <c r="F201" s="241"/>
      <c r="G201" s="241"/>
      <c r="H201" s="241"/>
      <c r="I201" s="241"/>
      <c r="J201" s="241"/>
      <c r="K201" s="241"/>
      <c r="L201" s="51"/>
      <c r="M201" s="51"/>
      <c r="N201" s="51"/>
      <c r="O201" s="51"/>
      <c r="P201" s="51"/>
      <c r="Q201" s="51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</row>
    <row r="202" ht="15.75" customHeight="1">
      <c r="A202" s="51"/>
      <c r="B202" s="51"/>
      <c r="C202" s="51"/>
      <c r="D202" s="241"/>
      <c r="E202" s="241"/>
      <c r="F202" s="241"/>
      <c r="G202" s="241"/>
      <c r="H202" s="241"/>
      <c r="I202" s="241"/>
      <c r="J202" s="241"/>
      <c r="K202" s="241"/>
      <c r="L202" s="51"/>
      <c r="M202" s="51"/>
      <c r="N202" s="51"/>
      <c r="O202" s="51"/>
      <c r="P202" s="51"/>
      <c r="Q202" s="51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</row>
    <row r="203" ht="15.75" customHeight="1">
      <c r="A203" s="51"/>
      <c r="B203" s="51"/>
      <c r="C203" s="51"/>
      <c r="D203" s="241"/>
      <c r="E203" s="241"/>
      <c r="F203" s="241"/>
      <c r="G203" s="241"/>
      <c r="H203" s="241"/>
      <c r="I203" s="241"/>
      <c r="J203" s="241"/>
      <c r="K203" s="241"/>
      <c r="L203" s="51"/>
      <c r="M203" s="51"/>
      <c r="N203" s="51"/>
      <c r="O203" s="51"/>
      <c r="P203" s="51"/>
      <c r="Q203" s="51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</row>
    <row r="204" ht="15.75" customHeight="1">
      <c r="A204" s="51"/>
      <c r="B204" s="51"/>
      <c r="C204" s="51"/>
      <c r="D204" s="241"/>
      <c r="E204" s="241"/>
      <c r="F204" s="241"/>
      <c r="G204" s="241"/>
      <c r="H204" s="241"/>
      <c r="I204" s="241"/>
      <c r="J204" s="241"/>
      <c r="K204" s="241"/>
      <c r="L204" s="51"/>
      <c r="M204" s="51"/>
      <c r="N204" s="51"/>
      <c r="O204" s="51"/>
      <c r="P204" s="51"/>
      <c r="Q204" s="51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</row>
    <row r="205" ht="15.75" customHeight="1">
      <c r="A205" s="51"/>
      <c r="B205" s="51"/>
      <c r="C205" s="51"/>
      <c r="D205" s="241"/>
      <c r="E205" s="241"/>
      <c r="F205" s="241"/>
      <c r="G205" s="241"/>
      <c r="H205" s="241"/>
      <c r="I205" s="241"/>
      <c r="J205" s="241"/>
      <c r="K205" s="241"/>
      <c r="L205" s="51"/>
      <c r="M205" s="51"/>
      <c r="N205" s="51"/>
      <c r="O205" s="51"/>
      <c r="P205" s="51"/>
      <c r="Q205" s="51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</row>
    <row r="206" ht="15.75" customHeight="1">
      <c r="A206" s="51"/>
      <c r="B206" s="51"/>
      <c r="C206" s="51"/>
      <c r="D206" s="241"/>
      <c r="E206" s="241"/>
      <c r="F206" s="241"/>
      <c r="G206" s="241"/>
      <c r="H206" s="241"/>
      <c r="I206" s="241"/>
      <c r="J206" s="241"/>
      <c r="K206" s="241"/>
      <c r="L206" s="51"/>
      <c r="M206" s="51"/>
      <c r="N206" s="51"/>
      <c r="O206" s="51"/>
      <c r="P206" s="51"/>
      <c r="Q206" s="51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</row>
    <row r="207" ht="15.75" customHeight="1">
      <c r="A207" s="51"/>
      <c r="B207" s="51"/>
      <c r="C207" s="51"/>
      <c r="D207" s="241"/>
      <c r="E207" s="241"/>
      <c r="F207" s="241"/>
      <c r="G207" s="241"/>
      <c r="H207" s="241"/>
      <c r="I207" s="241"/>
      <c r="J207" s="241"/>
      <c r="K207" s="241"/>
      <c r="L207" s="51"/>
      <c r="M207" s="51"/>
      <c r="N207" s="51"/>
      <c r="O207" s="51"/>
      <c r="P207" s="51"/>
      <c r="Q207" s="51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</row>
    <row r="208" ht="15.75" customHeight="1">
      <c r="A208" s="51"/>
      <c r="B208" s="51"/>
      <c r="C208" s="51"/>
      <c r="D208" s="241"/>
      <c r="E208" s="241"/>
      <c r="F208" s="241"/>
      <c r="G208" s="241"/>
      <c r="H208" s="241"/>
      <c r="I208" s="241"/>
      <c r="J208" s="241"/>
      <c r="K208" s="241"/>
      <c r="L208" s="51"/>
      <c r="M208" s="51"/>
      <c r="N208" s="51"/>
      <c r="O208" s="51"/>
      <c r="P208" s="51"/>
      <c r="Q208" s="51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</row>
    <row r="209" ht="15.75" customHeight="1">
      <c r="A209" s="51"/>
      <c r="B209" s="51"/>
      <c r="C209" s="51"/>
      <c r="D209" s="241"/>
      <c r="E209" s="241"/>
      <c r="F209" s="241"/>
      <c r="G209" s="241"/>
      <c r="H209" s="241"/>
      <c r="I209" s="241"/>
      <c r="J209" s="241"/>
      <c r="K209" s="241"/>
      <c r="L209" s="51"/>
      <c r="M209" s="51"/>
      <c r="N209" s="51"/>
      <c r="O209" s="51"/>
      <c r="P209" s="51"/>
      <c r="Q209" s="51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</row>
    <row r="210" ht="15.75" customHeight="1">
      <c r="A210" s="51"/>
      <c r="B210" s="51"/>
      <c r="C210" s="51"/>
      <c r="D210" s="241"/>
      <c r="E210" s="241"/>
      <c r="F210" s="241"/>
      <c r="G210" s="241"/>
      <c r="H210" s="241"/>
      <c r="I210" s="241"/>
      <c r="J210" s="241"/>
      <c r="K210" s="241"/>
      <c r="L210" s="51"/>
      <c r="M210" s="51"/>
      <c r="N210" s="51"/>
      <c r="O210" s="51"/>
      <c r="P210" s="51"/>
      <c r="Q210" s="51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</row>
    <row r="211" ht="15.75" customHeight="1">
      <c r="A211" s="51"/>
      <c r="B211" s="51"/>
      <c r="C211" s="51"/>
      <c r="D211" s="241"/>
      <c r="E211" s="241"/>
      <c r="F211" s="241"/>
      <c r="G211" s="241"/>
      <c r="H211" s="241"/>
      <c r="I211" s="241"/>
      <c r="J211" s="241"/>
      <c r="K211" s="241"/>
      <c r="L211" s="51"/>
      <c r="M211" s="51"/>
      <c r="N211" s="51"/>
      <c r="O211" s="51"/>
      <c r="P211" s="51"/>
      <c r="Q211" s="51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</row>
    <row r="212" ht="15.75" customHeight="1">
      <c r="A212" s="51"/>
      <c r="B212" s="51"/>
      <c r="C212" s="51"/>
      <c r="D212" s="241"/>
      <c r="E212" s="241"/>
      <c r="F212" s="241"/>
      <c r="G212" s="241"/>
      <c r="H212" s="241"/>
      <c r="I212" s="241"/>
      <c r="J212" s="241"/>
      <c r="K212" s="241"/>
      <c r="L212" s="51"/>
      <c r="M212" s="51"/>
      <c r="N212" s="51"/>
      <c r="O212" s="51"/>
      <c r="P212" s="51"/>
      <c r="Q212" s="51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</row>
    <row r="213" ht="15.75" customHeight="1">
      <c r="A213" s="51"/>
      <c r="B213" s="51"/>
      <c r="C213" s="51"/>
      <c r="D213" s="241"/>
      <c r="E213" s="241"/>
      <c r="F213" s="241"/>
      <c r="G213" s="241"/>
      <c r="H213" s="241"/>
      <c r="I213" s="241"/>
      <c r="J213" s="241"/>
      <c r="K213" s="241"/>
      <c r="L213" s="51"/>
      <c r="M213" s="51"/>
      <c r="N213" s="51"/>
      <c r="O213" s="51"/>
      <c r="P213" s="51"/>
      <c r="Q213" s="51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</row>
    <row r="214" ht="15.75" customHeight="1">
      <c r="A214" s="54"/>
      <c r="B214" s="54"/>
      <c r="C214" s="54"/>
      <c r="D214" s="277"/>
      <c r="E214" s="277"/>
      <c r="F214" s="277"/>
      <c r="G214" s="277"/>
      <c r="H214" s="277"/>
      <c r="I214" s="277"/>
      <c r="J214" s="277"/>
      <c r="K214" s="277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</row>
    <row r="215" ht="15.75" customHeight="1">
      <c r="A215" s="54"/>
      <c r="B215" s="54"/>
      <c r="C215" s="54"/>
      <c r="D215" s="277"/>
      <c r="E215" s="277"/>
      <c r="F215" s="277"/>
      <c r="G215" s="277"/>
      <c r="H215" s="277"/>
      <c r="I215" s="277"/>
      <c r="J215" s="277"/>
      <c r="K215" s="277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</row>
    <row r="216" ht="15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</row>
    <row r="217" ht="15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</row>
    <row r="218" ht="15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</row>
    <row r="219" ht="15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</row>
    <row r="220" ht="15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</row>
    <row r="221" ht="15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</row>
    <row r="222" ht="15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</row>
    <row r="223" ht="15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</row>
    <row r="224" ht="15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</row>
    <row r="225" ht="15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</row>
    <row r="226" ht="15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</row>
    <row r="227" ht="15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</row>
    <row r="228" ht="15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</row>
    <row r="229" ht="15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</row>
    <row r="230" ht="15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</row>
    <row r="231" ht="15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</row>
    <row r="232" ht="15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</row>
    <row r="233" ht="15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</row>
    <row r="234" ht="15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</row>
    <row r="235" ht="15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</row>
    <row r="236" ht="15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</row>
    <row r="237" ht="15.75" customHeight="1">
      <c r="A237" s="54"/>
      <c r="B237" s="54"/>
      <c r="C237" s="54"/>
      <c r="D237" s="277"/>
      <c r="E237" s="277"/>
      <c r="F237" s="277"/>
      <c r="G237" s="277"/>
      <c r="H237" s="277"/>
      <c r="I237" s="277"/>
      <c r="J237" s="277"/>
      <c r="K237" s="277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</row>
    <row r="238" ht="15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</row>
    <row r="239" ht="15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</row>
    <row r="240" ht="15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</row>
    <row r="241" ht="15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</row>
    <row r="242" ht="15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</row>
    <row r="243" ht="15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</row>
    <row r="244" ht="15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</row>
    <row r="245" ht="15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</row>
    <row r="246" ht="15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</row>
    <row r="247" ht="15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</row>
    <row r="248" ht="15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</row>
    <row r="249" ht="15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</row>
    <row r="250" ht="15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</row>
    <row r="251" ht="15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</row>
    <row r="252" ht="15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</row>
    <row r="253" ht="15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</row>
    <row r="254" ht="15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</row>
    <row r="255" ht="15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</row>
    <row r="256" ht="15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</row>
    <row r="257" ht="15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</row>
    <row r="258" ht="15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</row>
    <row r="259" ht="15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</row>
    <row r="260" ht="15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</row>
    <row r="261" ht="15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</row>
    <row r="262" ht="15.75" customHeight="1">
      <c r="A262" s="54"/>
      <c r="B262" s="54"/>
      <c r="C262" s="54"/>
      <c r="D262" s="277"/>
      <c r="E262" s="277"/>
      <c r="F262" s="277"/>
      <c r="G262" s="277"/>
      <c r="H262" s="277"/>
      <c r="I262" s="277"/>
      <c r="J262" s="277"/>
      <c r="K262" s="277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</row>
    <row r="263" ht="15.75" customHeight="1">
      <c r="A263" s="54"/>
      <c r="B263" s="54"/>
      <c r="C263" s="54"/>
      <c r="D263" s="277"/>
      <c r="E263" s="277"/>
      <c r="F263" s="277"/>
      <c r="G263" s="277"/>
      <c r="H263" s="277"/>
      <c r="I263" s="277"/>
      <c r="J263" s="277"/>
      <c r="K263" s="277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</row>
    <row r="264" ht="15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</row>
    <row r="265" ht="15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</row>
    <row r="266" ht="15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</row>
    <row r="267" ht="15.75" customHeight="1">
      <c r="A267" s="54"/>
      <c r="B267" s="54"/>
      <c r="C267" s="54"/>
      <c r="D267" s="277"/>
      <c r="E267" s="277"/>
      <c r="F267" s="277"/>
      <c r="G267" s="277"/>
      <c r="H267" s="277"/>
      <c r="I267" s="277"/>
      <c r="J267" s="277"/>
      <c r="K267" s="277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</row>
    <row r="268" ht="15.75" customHeight="1">
      <c r="A268" s="54"/>
      <c r="B268" s="54"/>
      <c r="C268" s="54"/>
      <c r="D268" s="277"/>
      <c r="E268" s="277"/>
      <c r="F268" s="277"/>
      <c r="G268" s="277"/>
      <c r="H268" s="277"/>
      <c r="I268" s="277"/>
      <c r="J268" s="277"/>
      <c r="K268" s="277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</row>
    <row r="269" ht="15.75" customHeight="1">
      <c r="A269" s="54"/>
      <c r="B269" s="54"/>
      <c r="C269" s="54"/>
      <c r="D269" s="277"/>
      <c r="E269" s="277"/>
      <c r="F269" s="277"/>
      <c r="G269" s="277"/>
      <c r="H269" s="277"/>
      <c r="I269" s="277"/>
      <c r="J269" s="277"/>
      <c r="K269" s="277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</row>
    <row r="270" ht="15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</row>
    <row r="271" ht="15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</row>
    <row r="272" ht="15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</row>
    <row r="273" ht="15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</row>
    <row r="274" ht="15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</row>
    <row r="275" ht="15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</row>
    <row r="276" ht="15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</row>
    <row r="277" ht="15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</row>
    <row r="278" ht="15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</row>
    <row r="279" ht="15.75" customHeight="1">
      <c r="A279" s="54"/>
      <c r="B279" s="54"/>
      <c r="C279" s="54"/>
      <c r="D279" s="277"/>
      <c r="E279" s="277"/>
      <c r="F279" s="277"/>
      <c r="G279" s="277"/>
      <c r="H279" s="277"/>
      <c r="I279" s="277"/>
      <c r="J279" s="277"/>
      <c r="K279" s="277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</row>
    <row r="280" ht="15.75" customHeight="1">
      <c r="A280" s="54"/>
      <c r="B280" s="54"/>
      <c r="C280" s="54"/>
      <c r="D280" s="277"/>
      <c r="E280" s="277"/>
      <c r="F280" s="277"/>
      <c r="G280" s="277"/>
      <c r="H280" s="277"/>
      <c r="I280" s="277"/>
      <c r="J280" s="277"/>
      <c r="K280" s="277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</row>
    <row r="281" ht="15.75" customHeight="1">
      <c r="A281" s="54"/>
      <c r="B281" s="54"/>
      <c r="C281" s="54"/>
      <c r="D281" s="277"/>
      <c r="E281" s="277"/>
      <c r="F281" s="277"/>
      <c r="G281" s="277"/>
      <c r="H281" s="277"/>
      <c r="I281" s="277"/>
      <c r="J281" s="277"/>
      <c r="K281" s="277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</row>
    <row r="282" ht="15.75" customHeight="1">
      <c r="A282" s="54"/>
      <c r="B282" s="54"/>
      <c r="C282" s="54"/>
      <c r="D282" s="277"/>
      <c r="E282" s="277"/>
      <c r="F282" s="277"/>
      <c r="G282" s="277"/>
      <c r="H282" s="277"/>
      <c r="I282" s="277"/>
      <c r="J282" s="277"/>
      <c r="K282" s="277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</row>
    <row r="283" ht="15.75" customHeight="1">
      <c r="A283" s="54"/>
      <c r="B283" s="54"/>
      <c r="C283" s="54"/>
      <c r="D283" s="277"/>
      <c r="E283" s="277"/>
      <c r="F283" s="277"/>
      <c r="G283" s="277"/>
      <c r="H283" s="277"/>
      <c r="I283" s="277"/>
      <c r="J283" s="277"/>
      <c r="K283" s="277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</row>
    <row r="284" ht="15.75" customHeight="1">
      <c r="A284" s="54"/>
      <c r="B284" s="54"/>
      <c r="C284" s="54"/>
      <c r="D284" s="277"/>
      <c r="E284" s="277"/>
      <c r="F284" s="277"/>
      <c r="G284" s="277"/>
      <c r="H284" s="277"/>
      <c r="I284" s="277"/>
      <c r="J284" s="277"/>
      <c r="K284" s="277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</row>
    <row r="285" ht="15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</row>
    <row r="286" ht="15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</row>
    <row r="287" ht="15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</row>
    <row r="288" ht="15.75" customHeight="1">
      <c r="A288" s="54"/>
      <c r="B288" s="54"/>
      <c r="C288" s="54"/>
      <c r="D288" s="277"/>
      <c r="E288" s="277"/>
      <c r="F288" s="277"/>
      <c r="G288" s="277"/>
      <c r="H288" s="277"/>
      <c r="I288" s="277"/>
      <c r="J288" s="277"/>
      <c r="K288" s="277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</row>
    <row r="289" ht="15.75" customHeight="1">
      <c r="A289" s="54"/>
      <c r="B289" s="54"/>
      <c r="C289" s="54"/>
      <c r="D289" s="277"/>
      <c r="E289" s="277"/>
      <c r="F289" s="277"/>
      <c r="G289" s="277"/>
      <c r="H289" s="277"/>
      <c r="I289" s="277"/>
      <c r="J289" s="277"/>
      <c r="K289" s="277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</row>
    <row r="290" ht="15.75" customHeight="1">
      <c r="A290" s="54"/>
      <c r="B290" s="54"/>
      <c r="C290" s="54"/>
      <c r="D290" s="277"/>
      <c r="E290" s="277"/>
      <c r="F290" s="277"/>
      <c r="G290" s="277"/>
      <c r="H290" s="277"/>
      <c r="I290" s="277"/>
      <c r="J290" s="277"/>
      <c r="K290" s="277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</row>
    <row r="291" ht="15.75" customHeight="1">
      <c r="A291" s="54"/>
      <c r="B291" s="54"/>
      <c r="C291" s="54"/>
      <c r="D291" s="277"/>
      <c r="E291" s="277"/>
      <c r="F291" s="277"/>
      <c r="G291" s="277"/>
      <c r="H291" s="277"/>
      <c r="I291" s="277"/>
      <c r="J291" s="277"/>
      <c r="K291" s="277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</row>
    <row r="292" ht="15.75" customHeight="1">
      <c r="A292" s="54"/>
      <c r="B292" s="54"/>
      <c r="C292" s="54"/>
      <c r="D292" s="277"/>
      <c r="E292" s="277"/>
      <c r="F292" s="277"/>
      <c r="G292" s="277"/>
      <c r="H292" s="277"/>
      <c r="I292" s="277"/>
      <c r="J292" s="277"/>
      <c r="K292" s="277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</row>
    <row r="293" ht="15.75" customHeight="1">
      <c r="A293" s="54"/>
      <c r="B293" s="54"/>
      <c r="C293" s="54"/>
      <c r="D293" s="277"/>
      <c r="E293" s="277"/>
      <c r="F293" s="277"/>
      <c r="G293" s="277"/>
      <c r="H293" s="277"/>
      <c r="I293" s="277"/>
      <c r="J293" s="277"/>
      <c r="K293" s="277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</row>
    <row r="294" ht="15.75" customHeight="1">
      <c r="A294" s="54"/>
      <c r="B294" s="54"/>
      <c r="C294" s="54"/>
      <c r="D294" s="277"/>
      <c r="E294" s="277"/>
      <c r="F294" s="277"/>
      <c r="G294" s="277"/>
      <c r="H294" s="277"/>
      <c r="I294" s="277"/>
      <c r="J294" s="277"/>
      <c r="K294" s="277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</row>
    <row r="295" ht="15.75" customHeight="1">
      <c r="A295" s="54"/>
      <c r="B295" s="54"/>
      <c r="C295" s="54"/>
      <c r="D295" s="277"/>
      <c r="E295" s="277"/>
      <c r="F295" s="277"/>
      <c r="G295" s="277"/>
      <c r="H295" s="277"/>
      <c r="I295" s="277"/>
      <c r="J295" s="277"/>
      <c r="K295" s="277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</row>
    <row r="296" ht="15.75" customHeight="1">
      <c r="A296" s="54"/>
      <c r="B296" s="54"/>
      <c r="C296" s="54"/>
      <c r="D296" s="277"/>
      <c r="E296" s="277"/>
      <c r="F296" s="277"/>
      <c r="G296" s="277"/>
      <c r="H296" s="277"/>
      <c r="I296" s="277"/>
      <c r="J296" s="277"/>
      <c r="K296" s="277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</row>
    <row r="297" ht="15.75" customHeight="1">
      <c r="A297" s="54"/>
      <c r="B297" s="54"/>
      <c r="C297" s="54"/>
      <c r="D297" s="277"/>
      <c r="E297" s="277"/>
      <c r="F297" s="277"/>
      <c r="G297" s="277"/>
      <c r="H297" s="277"/>
      <c r="I297" s="277"/>
      <c r="J297" s="277"/>
      <c r="K297" s="277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</row>
    <row r="298" ht="15.75" customHeight="1">
      <c r="A298" s="54"/>
      <c r="B298" s="54"/>
      <c r="C298" s="54"/>
      <c r="D298" s="277"/>
      <c r="E298" s="277"/>
      <c r="F298" s="277"/>
      <c r="G298" s="277"/>
      <c r="H298" s="277"/>
      <c r="I298" s="277"/>
      <c r="J298" s="277"/>
      <c r="K298" s="277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</row>
    <row r="299" ht="15.75" customHeight="1">
      <c r="A299" s="54"/>
      <c r="B299" s="54"/>
      <c r="C299" s="54"/>
      <c r="D299" s="277"/>
      <c r="E299" s="277"/>
      <c r="F299" s="277"/>
      <c r="G299" s="277"/>
      <c r="H299" s="277"/>
      <c r="I299" s="277"/>
      <c r="J299" s="277"/>
      <c r="K299" s="277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</row>
    <row r="300" ht="15.75" customHeight="1">
      <c r="A300" s="54"/>
      <c r="B300" s="54"/>
      <c r="C300" s="54"/>
      <c r="D300" s="277"/>
      <c r="E300" s="277"/>
      <c r="F300" s="277"/>
      <c r="G300" s="277"/>
      <c r="H300" s="277"/>
      <c r="I300" s="277"/>
      <c r="J300" s="277"/>
      <c r="K300" s="277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</row>
    <row r="301" ht="15.75" customHeight="1">
      <c r="A301" s="54"/>
      <c r="B301" s="54"/>
      <c r="C301" s="54"/>
      <c r="D301" s="277"/>
      <c r="E301" s="277"/>
      <c r="F301" s="277"/>
      <c r="G301" s="277"/>
      <c r="H301" s="277"/>
      <c r="I301" s="277"/>
      <c r="J301" s="277"/>
      <c r="K301" s="277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</row>
    <row r="302" ht="15.75" customHeight="1">
      <c r="A302" s="54"/>
      <c r="B302" s="54"/>
      <c r="C302" s="54"/>
      <c r="D302" s="277"/>
      <c r="E302" s="277"/>
      <c r="F302" s="277"/>
      <c r="G302" s="277"/>
      <c r="H302" s="277"/>
      <c r="I302" s="277"/>
      <c r="J302" s="277"/>
      <c r="K302" s="277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</row>
    <row r="303" ht="15.75" customHeight="1">
      <c r="A303" s="54"/>
      <c r="B303" s="54"/>
      <c r="C303" s="54"/>
      <c r="D303" s="277"/>
      <c r="E303" s="277"/>
      <c r="F303" s="277"/>
      <c r="G303" s="277"/>
      <c r="H303" s="277"/>
      <c r="I303" s="277"/>
      <c r="J303" s="277"/>
      <c r="K303" s="277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</row>
    <row r="304" ht="15.75" customHeight="1">
      <c r="A304" s="54"/>
      <c r="B304" s="54"/>
      <c r="C304" s="54"/>
      <c r="D304" s="277"/>
      <c r="E304" s="277"/>
      <c r="F304" s="277"/>
      <c r="G304" s="277"/>
      <c r="H304" s="277"/>
      <c r="I304" s="277"/>
      <c r="J304" s="277"/>
      <c r="K304" s="277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</row>
    <row r="305" ht="15.75" customHeight="1">
      <c r="A305" s="54"/>
      <c r="B305" s="54"/>
      <c r="C305" s="54"/>
      <c r="D305" s="277"/>
      <c r="E305" s="277"/>
      <c r="F305" s="277"/>
      <c r="G305" s="277"/>
      <c r="H305" s="277"/>
      <c r="I305" s="277"/>
      <c r="J305" s="277"/>
      <c r="K305" s="277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</row>
    <row r="306" ht="15.75" customHeight="1">
      <c r="A306" s="54"/>
      <c r="B306" s="54"/>
      <c r="C306" s="54"/>
      <c r="D306" s="277"/>
      <c r="E306" s="277"/>
      <c r="F306" s="277"/>
      <c r="G306" s="277"/>
      <c r="H306" s="277"/>
      <c r="I306" s="277"/>
      <c r="J306" s="277"/>
      <c r="K306" s="277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</row>
    <row r="307" ht="15.75" customHeight="1">
      <c r="A307" s="54"/>
      <c r="B307" s="54"/>
      <c r="C307" s="54"/>
      <c r="D307" s="277"/>
      <c r="E307" s="277"/>
      <c r="F307" s="277"/>
      <c r="G307" s="277"/>
      <c r="H307" s="277"/>
      <c r="I307" s="277"/>
      <c r="J307" s="277"/>
      <c r="K307" s="277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</row>
    <row r="308" ht="15.75" customHeight="1">
      <c r="A308" s="54"/>
      <c r="B308" s="54"/>
      <c r="C308" s="54"/>
      <c r="D308" s="277"/>
      <c r="E308" s="277"/>
      <c r="F308" s="277"/>
      <c r="G308" s="277"/>
      <c r="H308" s="277"/>
      <c r="I308" s="277"/>
      <c r="J308" s="277"/>
      <c r="K308" s="277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</row>
    <row r="309" ht="15.75" customHeight="1">
      <c r="A309" s="54"/>
      <c r="B309" s="54"/>
      <c r="C309" s="54"/>
      <c r="D309" s="277"/>
      <c r="E309" s="277"/>
      <c r="F309" s="277"/>
      <c r="G309" s="277"/>
      <c r="H309" s="277"/>
      <c r="I309" s="277"/>
      <c r="J309" s="277"/>
      <c r="K309" s="277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</row>
    <row r="310" ht="15.75" customHeight="1">
      <c r="A310" s="54"/>
      <c r="B310" s="54"/>
      <c r="C310" s="54"/>
      <c r="D310" s="277"/>
      <c r="E310" s="277"/>
      <c r="F310" s="277"/>
      <c r="G310" s="277"/>
      <c r="H310" s="277"/>
      <c r="I310" s="277"/>
      <c r="J310" s="277"/>
      <c r="K310" s="277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</row>
    <row r="311" ht="15.75" customHeight="1">
      <c r="A311" s="54"/>
      <c r="B311" s="54"/>
      <c r="C311" s="54"/>
      <c r="D311" s="277"/>
      <c r="E311" s="277"/>
      <c r="F311" s="277"/>
      <c r="G311" s="277"/>
      <c r="H311" s="277"/>
      <c r="I311" s="277"/>
      <c r="J311" s="277"/>
      <c r="K311" s="277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</row>
    <row r="312" ht="15.75" customHeight="1">
      <c r="A312" s="54"/>
      <c r="B312" s="54"/>
      <c r="C312" s="54"/>
      <c r="D312" s="277"/>
      <c r="E312" s="277"/>
      <c r="F312" s="277"/>
      <c r="G312" s="277"/>
      <c r="H312" s="277"/>
      <c r="I312" s="277"/>
      <c r="J312" s="277"/>
      <c r="K312" s="277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</row>
    <row r="313" ht="15.75" customHeight="1">
      <c r="A313" s="54"/>
      <c r="B313" s="54"/>
      <c r="C313" s="54"/>
      <c r="D313" s="277"/>
      <c r="E313" s="277"/>
      <c r="F313" s="277"/>
      <c r="G313" s="277"/>
      <c r="H313" s="277"/>
      <c r="I313" s="277"/>
      <c r="J313" s="277"/>
      <c r="K313" s="277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</row>
    <row r="314" ht="15.75" customHeight="1">
      <c r="A314" s="54"/>
      <c r="B314" s="54"/>
      <c r="C314" s="54"/>
      <c r="D314" s="277"/>
      <c r="E314" s="277"/>
      <c r="F314" s="277"/>
      <c r="G314" s="277"/>
      <c r="H314" s="277"/>
      <c r="I314" s="277"/>
      <c r="J314" s="277"/>
      <c r="K314" s="277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</row>
    <row r="315" ht="15.75" customHeight="1">
      <c r="A315" s="54"/>
      <c r="B315" s="54"/>
      <c r="C315" s="54"/>
      <c r="D315" s="277"/>
      <c r="E315" s="277"/>
      <c r="F315" s="277"/>
      <c r="G315" s="277"/>
      <c r="H315" s="277"/>
      <c r="I315" s="277"/>
      <c r="J315" s="277"/>
      <c r="K315" s="277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</row>
    <row r="316" ht="15.75" customHeight="1">
      <c r="A316" s="54"/>
      <c r="B316" s="54"/>
      <c r="C316" s="54"/>
      <c r="D316" s="277"/>
      <c r="E316" s="277"/>
      <c r="F316" s="277"/>
      <c r="G316" s="277"/>
      <c r="H316" s="277"/>
      <c r="I316" s="277"/>
      <c r="J316" s="277"/>
      <c r="K316" s="277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</row>
    <row r="317" ht="15.75" customHeight="1">
      <c r="A317" s="54"/>
      <c r="B317" s="54"/>
      <c r="C317" s="54"/>
      <c r="D317" s="277"/>
      <c r="E317" s="277"/>
      <c r="F317" s="277"/>
      <c r="G317" s="277"/>
      <c r="H317" s="277"/>
      <c r="I317" s="277"/>
      <c r="J317" s="277"/>
      <c r="K317" s="277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</row>
    <row r="318" ht="15.75" customHeight="1">
      <c r="A318" s="54"/>
      <c r="B318" s="54"/>
      <c r="C318" s="54"/>
      <c r="D318" s="277"/>
      <c r="E318" s="277"/>
      <c r="F318" s="277"/>
      <c r="G318" s="277"/>
      <c r="H318" s="277"/>
      <c r="I318" s="277"/>
      <c r="J318" s="277"/>
      <c r="K318" s="277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</row>
    <row r="319" ht="15.75" customHeight="1">
      <c r="A319" s="54"/>
      <c r="B319" s="54"/>
      <c r="C319" s="54"/>
      <c r="D319" s="277"/>
      <c r="E319" s="277"/>
      <c r="F319" s="277"/>
      <c r="G319" s="277"/>
      <c r="H319" s="277"/>
      <c r="I319" s="277"/>
      <c r="J319" s="277"/>
      <c r="K319" s="277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</row>
    <row r="320" ht="15.75" customHeight="1">
      <c r="A320" s="54"/>
      <c r="B320" s="54"/>
      <c r="C320" s="54"/>
      <c r="D320" s="277"/>
      <c r="E320" s="277"/>
      <c r="F320" s="277"/>
      <c r="G320" s="277"/>
      <c r="H320" s="277"/>
      <c r="I320" s="277"/>
      <c r="J320" s="277"/>
      <c r="K320" s="277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</row>
    <row r="321" ht="15.75" customHeight="1">
      <c r="A321" s="54"/>
      <c r="B321" s="54"/>
      <c r="C321" s="54"/>
      <c r="D321" s="277"/>
      <c r="E321" s="277"/>
      <c r="F321" s="277"/>
      <c r="G321" s="277"/>
      <c r="H321" s="277"/>
      <c r="I321" s="277"/>
      <c r="J321" s="277"/>
      <c r="K321" s="277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</row>
    <row r="322" ht="15.75" customHeight="1">
      <c r="A322" s="54"/>
      <c r="B322" s="54"/>
      <c r="C322" s="54"/>
      <c r="D322" s="277"/>
      <c r="E322" s="277"/>
      <c r="F322" s="277"/>
      <c r="G322" s="277"/>
      <c r="H322" s="277"/>
      <c r="I322" s="277"/>
      <c r="J322" s="277"/>
      <c r="K322" s="277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</row>
    <row r="323" ht="15.75" customHeight="1">
      <c r="A323" s="54"/>
      <c r="B323" s="54"/>
      <c r="C323" s="54"/>
      <c r="D323" s="277"/>
      <c r="E323" s="277"/>
      <c r="F323" s="277"/>
      <c r="G323" s="277"/>
      <c r="H323" s="277"/>
      <c r="I323" s="277"/>
      <c r="J323" s="277"/>
      <c r="K323" s="277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</row>
    <row r="324" ht="15.75" customHeight="1">
      <c r="A324" s="54"/>
      <c r="B324" s="54"/>
      <c r="C324" s="54"/>
      <c r="D324" s="277"/>
      <c r="E324" s="277"/>
      <c r="F324" s="277"/>
      <c r="G324" s="277"/>
      <c r="H324" s="277"/>
      <c r="I324" s="277"/>
      <c r="J324" s="277"/>
      <c r="K324" s="277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</row>
    <row r="325" ht="15.75" customHeight="1">
      <c r="A325" s="54"/>
      <c r="B325" s="54"/>
      <c r="C325" s="54"/>
      <c r="D325" s="277"/>
      <c r="E325" s="277"/>
      <c r="F325" s="277"/>
      <c r="G325" s="277"/>
      <c r="H325" s="277"/>
      <c r="I325" s="277"/>
      <c r="J325" s="277"/>
      <c r="K325" s="277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</row>
    <row r="326" ht="15.75" customHeight="1">
      <c r="A326" s="54"/>
      <c r="B326" s="54"/>
      <c r="C326" s="54"/>
      <c r="D326" s="277"/>
      <c r="E326" s="277"/>
      <c r="F326" s="277"/>
      <c r="G326" s="277"/>
      <c r="H326" s="277"/>
      <c r="I326" s="277"/>
      <c r="J326" s="277"/>
      <c r="K326" s="277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</row>
    <row r="327" ht="15.75" customHeight="1">
      <c r="A327" s="54"/>
      <c r="B327" s="54"/>
      <c r="C327" s="54"/>
      <c r="D327" s="277"/>
      <c r="E327" s="277"/>
      <c r="F327" s="277"/>
      <c r="G327" s="277"/>
      <c r="H327" s="277"/>
      <c r="I327" s="277"/>
      <c r="J327" s="277"/>
      <c r="K327" s="277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</row>
    <row r="328" ht="15.75" customHeight="1">
      <c r="A328" s="54"/>
      <c r="B328" s="54"/>
      <c r="C328" s="54"/>
      <c r="D328" s="277"/>
      <c r="E328" s="277"/>
      <c r="F328" s="277"/>
      <c r="G328" s="277"/>
      <c r="H328" s="277"/>
      <c r="I328" s="277"/>
      <c r="J328" s="277"/>
      <c r="K328" s="277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</row>
    <row r="329" ht="15.75" customHeight="1">
      <c r="A329" s="54"/>
      <c r="B329" s="54"/>
      <c r="C329" s="54"/>
      <c r="D329" s="277"/>
      <c r="E329" s="277"/>
      <c r="F329" s="277"/>
      <c r="G329" s="277"/>
      <c r="H329" s="277"/>
      <c r="I329" s="277"/>
      <c r="J329" s="277"/>
      <c r="K329" s="277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</row>
    <row r="330" ht="15.75" customHeight="1">
      <c r="A330" s="54"/>
      <c r="B330" s="54"/>
      <c r="C330" s="54"/>
      <c r="D330" s="277"/>
      <c r="E330" s="277"/>
      <c r="F330" s="277"/>
      <c r="G330" s="277"/>
      <c r="H330" s="277"/>
      <c r="I330" s="277"/>
      <c r="J330" s="277"/>
      <c r="K330" s="277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</row>
    <row r="331" ht="15.75" customHeight="1">
      <c r="A331" s="54"/>
      <c r="B331" s="54"/>
      <c r="C331" s="54"/>
      <c r="D331" s="277"/>
      <c r="E331" s="277"/>
      <c r="F331" s="277"/>
      <c r="G331" s="277"/>
      <c r="H331" s="277"/>
      <c r="I331" s="277"/>
      <c r="J331" s="277"/>
      <c r="K331" s="277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</row>
    <row r="332" ht="15.75" customHeight="1">
      <c r="A332" s="54"/>
      <c r="B332" s="54"/>
      <c r="C332" s="54"/>
      <c r="D332" s="277"/>
      <c r="E332" s="277"/>
      <c r="F332" s="277"/>
      <c r="G332" s="277"/>
      <c r="H332" s="277"/>
      <c r="I332" s="277"/>
      <c r="J332" s="277"/>
      <c r="K332" s="277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</row>
    <row r="333" ht="15.75" customHeight="1">
      <c r="A333" s="54"/>
      <c r="B333" s="54"/>
      <c r="C333" s="54"/>
      <c r="D333" s="277"/>
      <c r="E333" s="277"/>
      <c r="F333" s="277"/>
      <c r="G333" s="277"/>
      <c r="H333" s="277"/>
      <c r="I333" s="277"/>
      <c r="J333" s="277"/>
      <c r="K333" s="277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</row>
    <row r="334" ht="15.75" customHeight="1">
      <c r="A334" s="54"/>
      <c r="B334" s="54"/>
      <c r="C334" s="54"/>
      <c r="D334" s="277"/>
      <c r="E334" s="277"/>
      <c r="F334" s="277"/>
      <c r="G334" s="277"/>
      <c r="H334" s="277"/>
      <c r="I334" s="277"/>
      <c r="J334" s="277"/>
      <c r="K334" s="277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</row>
    <row r="335" ht="15.75" customHeight="1">
      <c r="A335" s="54"/>
      <c r="B335" s="54"/>
      <c r="C335" s="54"/>
      <c r="D335" s="277"/>
      <c r="E335" s="277"/>
      <c r="F335" s="277"/>
      <c r="G335" s="277"/>
      <c r="H335" s="277"/>
      <c r="I335" s="277"/>
      <c r="J335" s="277"/>
      <c r="K335" s="277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</row>
    <row r="336" ht="15.75" customHeight="1">
      <c r="A336" s="54"/>
      <c r="B336" s="54"/>
      <c r="C336" s="54"/>
      <c r="D336" s="277"/>
      <c r="E336" s="277"/>
      <c r="F336" s="277"/>
      <c r="G336" s="277"/>
      <c r="H336" s="277"/>
      <c r="I336" s="277"/>
      <c r="J336" s="277"/>
      <c r="K336" s="277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</row>
    <row r="337" ht="15.75" customHeight="1">
      <c r="A337" s="54"/>
      <c r="B337" s="54"/>
      <c r="C337" s="54"/>
      <c r="D337" s="277"/>
      <c r="E337" s="277"/>
      <c r="F337" s="277"/>
      <c r="G337" s="277"/>
      <c r="H337" s="277"/>
      <c r="I337" s="277"/>
      <c r="J337" s="277"/>
      <c r="K337" s="277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</row>
    <row r="338" ht="15.75" customHeight="1">
      <c r="A338" s="54"/>
      <c r="B338" s="54"/>
      <c r="C338" s="54"/>
      <c r="D338" s="277"/>
      <c r="E338" s="277"/>
      <c r="F338" s="277"/>
      <c r="G338" s="277"/>
      <c r="H338" s="277"/>
      <c r="I338" s="277"/>
      <c r="J338" s="277"/>
      <c r="K338" s="277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</row>
    <row r="339" ht="15.75" customHeight="1">
      <c r="A339" s="54"/>
      <c r="B339" s="54"/>
      <c r="C339" s="54"/>
      <c r="D339" s="277"/>
      <c r="E339" s="277"/>
      <c r="F339" s="277"/>
      <c r="G339" s="277"/>
      <c r="H339" s="277"/>
      <c r="I339" s="277"/>
      <c r="J339" s="277"/>
      <c r="K339" s="277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</row>
    <row r="340" ht="15.75" customHeight="1">
      <c r="A340" s="54"/>
      <c r="B340" s="54"/>
      <c r="C340" s="54"/>
      <c r="D340" s="277"/>
      <c r="E340" s="277"/>
      <c r="F340" s="277"/>
      <c r="G340" s="277"/>
      <c r="H340" s="277"/>
      <c r="I340" s="277"/>
      <c r="J340" s="277"/>
      <c r="K340" s="277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</row>
    <row r="341" ht="15.75" customHeight="1">
      <c r="A341" s="54"/>
      <c r="B341" s="54"/>
      <c r="C341" s="54"/>
      <c r="D341" s="277"/>
      <c r="E341" s="277"/>
      <c r="F341" s="277"/>
      <c r="G341" s="277"/>
      <c r="H341" s="277"/>
      <c r="I341" s="277"/>
      <c r="J341" s="277"/>
      <c r="K341" s="277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</row>
    <row r="342" ht="15.75" customHeight="1">
      <c r="A342" s="54"/>
      <c r="B342" s="54"/>
      <c r="C342" s="54"/>
      <c r="D342" s="277"/>
      <c r="E342" s="277"/>
      <c r="F342" s="277"/>
      <c r="G342" s="277"/>
      <c r="H342" s="277"/>
      <c r="I342" s="277"/>
      <c r="J342" s="277"/>
      <c r="K342" s="277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</row>
    <row r="343" ht="15.75" customHeight="1">
      <c r="A343" s="54"/>
      <c r="B343" s="54"/>
      <c r="C343" s="54"/>
      <c r="D343" s="277"/>
      <c r="E343" s="277"/>
      <c r="F343" s="277"/>
      <c r="G343" s="277"/>
      <c r="H343" s="277"/>
      <c r="I343" s="277"/>
      <c r="J343" s="277"/>
      <c r="K343" s="277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</row>
    <row r="344" ht="15.75" customHeight="1">
      <c r="A344" s="54"/>
      <c r="B344" s="54"/>
      <c r="C344" s="54"/>
      <c r="D344" s="277"/>
      <c r="E344" s="277"/>
      <c r="F344" s="277"/>
      <c r="G344" s="277"/>
      <c r="H344" s="277"/>
      <c r="I344" s="277"/>
      <c r="J344" s="277"/>
      <c r="K344" s="277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</row>
    <row r="345" ht="15.75" customHeight="1">
      <c r="A345" s="54"/>
      <c r="B345" s="54"/>
      <c r="C345" s="54"/>
      <c r="D345" s="277"/>
      <c r="E345" s="277"/>
      <c r="F345" s="277"/>
      <c r="G345" s="277"/>
      <c r="H345" s="277"/>
      <c r="I345" s="277"/>
      <c r="J345" s="277"/>
      <c r="K345" s="277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</row>
    <row r="346" ht="15.75" customHeight="1">
      <c r="A346" s="54"/>
      <c r="B346" s="54"/>
      <c r="C346" s="54"/>
      <c r="D346" s="277"/>
      <c r="E346" s="277"/>
      <c r="F346" s="277"/>
      <c r="G346" s="277"/>
      <c r="H346" s="277"/>
      <c r="I346" s="277"/>
      <c r="J346" s="277"/>
      <c r="K346" s="277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</row>
    <row r="347" ht="15.75" customHeight="1">
      <c r="A347" s="54"/>
      <c r="B347" s="54"/>
      <c r="C347" s="54"/>
      <c r="D347" s="277"/>
      <c r="E347" s="277"/>
      <c r="F347" s="277"/>
      <c r="G347" s="277"/>
      <c r="H347" s="277"/>
      <c r="I347" s="277"/>
      <c r="J347" s="277"/>
      <c r="K347" s="277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</row>
    <row r="348" ht="15.75" customHeight="1">
      <c r="A348" s="54"/>
      <c r="B348" s="54"/>
      <c r="C348" s="54"/>
      <c r="D348" s="277"/>
      <c r="E348" s="277"/>
      <c r="F348" s="277"/>
      <c r="G348" s="277"/>
      <c r="H348" s="277"/>
      <c r="I348" s="277"/>
      <c r="J348" s="277"/>
      <c r="K348" s="277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</row>
    <row r="349" ht="15.75" customHeight="1">
      <c r="A349" s="54"/>
      <c r="B349" s="54"/>
      <c r="C349" s="54"/>
      <c r="D349" s="277"/>
      <c r="E349" s="277"/>
      <c r="F349" s="277"/>
      <c r="G349" s="277"/>
      <c r="H349" s="277"/>
      <c r="I349" s="277"/>
      <c r="J349" s="277"/>
      <c r="K349" s="277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</row>
    <row r="350" ht="15.75" customHeight="1">
      <c r="A350" s="54"/>
      <c r="B350" s="54"/>
      <c r="C350" s="54"/>
      <c r="D350" s="277"/>
      <c r="E350" s="277"/>
      <c r="F350" s="277"/>
      <c r="G350" s="277"/>
      <c r="H350" s="277"/>
      <c r="I350" s="277"/>
      <c r="J350" s="277"/>
      <c r="K350" s="277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</row>
    <row r="351" ht="15.75" customHeight="1">
      <c r="A351" s="54"/>
      <c r="B351" s="54"/>
      <c r="C351" s="54"/>
      <c r="D351" s="277"/>
      <c r="E351" s="277"/>
      <c r="F351" s="277"/>
      <c r="G351" s="277"/>
      <c r="H351" s="277"/>
      <c r="I351" s="277"/>
      <c r="J351" s="277"/>
      <c r="K351" s="277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</row>
    <row r="352" ht="15.75" customHeight="1">
      <c r="A352" s="54"/>
      <c r="B352" s="54"/>
      <c r="C352" s="54"/>
      <c r="D352" s="277"/>
      <c r="E352" s="277"/>
      <c r="F352" s="277"/>
      <c r="G352" s="277"/>
      <c r="H352" s="277"/>
      <c r="I352" s="277"/>
      <c r="J352" s="277"/>
      <c r="K352" s="277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</row>
    <row r="353" ht="15.75" customHeight="1">
      <c r="A353" s="54"/>
      <c r="B353" s="54"/>
      <c r="C353" s="54"/>
      <c r="D353" s="277"/>
      <c r="E353" s="277"/>
      <c r="F353" s="277"/>
      <c r="G353" s="277"/>
      <c r="H353" s="277"/>
      <c r="I353" s="277"/>
      <c r="J353" s="277"/>
      <c r="K353" s="277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</row>
    <row r="354" ht="15.75" customHeight="1">
      <c r="A354" s="54"/>
      <c r="B354" s="54"/>
      <c r="C354" s="54"/>
      <c r="D354" s="277"/>
      <c r="E354" s="277"/>
      <c r="F354" s="277"/>
      <c r="G354" s="277"/>
      <c r="H354" s="277"/>
      <c r="I354" s="277"/>
      <c r="J354" s="277"/>
      <c r="K354" s="277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</row>
    <row r="355" ht="15.75" customHeight="1">
      <c r="A355" s="54"/>
      <c r="B355" s="54"/>
      <c r="C355" s="54"/>
      <c r="D355" s="277"/>
      <c r="E355" s="277"/>
      <c r="F355" s="277"/>
      <c r="G355" s="277"/>
      <c r="H355" s="277"/>
      <c r="I355" s="277"/>
      <c r="J355" s="277"/>
      <c r="K355" s="277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</row>
    <row r="356" ht="15.75" customHeight="1">
      <c r="A356" s="54"/>
      <c r="B356" s="54"/>
      <c r="C356" s="54"/>
      <c r="D356" s="277"/>
      <c r="E356" s="277"/>
      <c r="F356" s="277"/>
      <c r="G356" s="277"/>
      <c r="H356" s="277"/>
      <c r="I356" s="277"/>
      <c r="J356" s="277"/>
      <c r="K356" s="277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</row>
    <row r="357" ht="15.75" customHeight="1">
      <c r="A357" s="54"/>
      <c r="B357" s="54"/>
      <c r="C357" s="54"/>
      <c r="D357" s="277"/>
      <c r="E357" s="277"/>
      <c r="F357" s="277"/>
      <c r="G357" s="277"/>
      <c r="H357" s="277"/>
      <c r="I357" s="277"/>
      <c r="J357" s="277"/>
      <c r="K357" s="277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</row>
    <row r="358" ht="15.75" customHeight="1">
      <c r="A358" s="54"/>
      <c r="B358" s="54"/>
      <c r="C358" s="54"/>
      <c r="D358" s="277"/>
      <c r="E358" s="277"/>
      <c r="F358" s="277"/>
      <c r="G358" s="277"/>
      <c r="H358" s="277"/>
      <c r="I358" s="277"/>
      <c r="J358" s="277"/>
      <c r="K358" s="277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</row>
    <row r="359" ht="15.75" customHeight="1">
      <c r="A359" s="54"/>
      <c r="B359" s="54"/>
      <c r="C359" s="54"/>
      <c r="D359" s="277"/>
      <c r="E359" s="277"/>
      <c r="F359" s="277"/>
      <c r="G359" s="277"/>
      <c r="H359" s="277"/>
      <c r="I359" s="277"/>
      <c r="J359" s="277"/>
      <c r="K359" s="277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</row>
    <row r="360" ht="15.75" customHeight="1">
      <c r="A360" s="54"/>
      <c r="B360" s="54"/>
      <c r="C360" s="54"/>
      <c r="D360" s="277"/>
      <c r="E360" s="277"/>
      <c r="F360" s="277"/>
      <c r="G360" s="277"/>
      <c r="H360" s="277"/>
      <c r="I360" s="277"/>
      <c r="J360" s="277"/>
      <c r="K360" s="277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</row>
    <row r="361" ht="15.75" customHeight="1">
      <c r="A361" s="54"/>
      <c r="B361" s="54"/>
      <c r="C361" s="54"/>
      <c r="D361" s="277"/>
      <c r="E361" s="277"/>
      <c r="F361" s="277"/>
      <c r="G361" s="277"/>
      <c r="H361" s="277"/>
      <c r="I361" s="277"/>
      <c r="J361" s="277"/>
      <c r="K361" s="277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</row>
    <row r="362" ht="15.75" customHeight="1">
      <c r="A362" s="54"/>
      <c r="B362" s="54"/>
      <c r="C362" s="54"/>
      <c r="D362" s="277"/>
      <c r="E362" s="277"/>
      <c r="F362" s="277"/>
      <c r="G362" s="277"/>
      <c r="H362" s="277"/>
      <c r="I362" s="277"/>
      <c r="J362" s="277"/>
      <c r="K362" s="277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</row>
    <row r="363" ht="15.75" customHeight="1">
      <c r="A363" s="54"/>
      <c r="B363" s="54"/>
      <c r="C363" s="54"/>
      <c r="D363" s="277"/>
      <c r="E363" s="277"/>
      <c r="F363" s="277"/>
      <c r="G363" s="277"/>
      <c r="H363" s="277"/>
      <c r="I363" s="277"/>
      <c r="J363" s="277"/>
      <c r="K363" s="277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</row>
    <row r="364" ht="15.75" customHeight="1">
      <c r="A364" s="54"/>
      <c r="B364" s="54"/>
      <c r="C364" s="54"/>
      <c r="D364" s="277"/>
      <c r="E364" s="277"/>
      <c r="F364" s="277"/>
      <c r="G364" s="277"/>
      <c r="H364" s="277"/>
      <c r="I364" s="277"/>
      <c r="J364" s="277"/>
      <c r="K364" s="277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</row>
    <row r="365" ht="15.75" customHeight="1">
      <c r="A365" s="54"/>
      <c r="B365" s="54"/>
      <c r="C365" s="54"/>
      <c r="D365" s="277"/>
      <c r="E365" s="277"/>
      <c r="F365" s="277"/>
      <c r="G365" s="277"/>
      <c r="H365" s="277"/>
      <c r="I365" s="277"/>
      <c r="J365" s="277"/>
      <c r="K365" s="277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</row>
    <row r="366" ht="15.75" customHeight="1">
      <c r="A366" s="54"/>
      <c r="B366" s="54"/>
      <c r="C366" s="54"/>
      <c r="D366" s="277"/>
      <c r="E366" s="277"/>
      <c r="F366" s="277"/>
      <c r="G366" s="277"/>
      <c r="H366" s="277"/>
      <c r="I366" s="277"/>
      <c r="J366" s="277"/>
      <c r="K366" s="277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</row>
    <row r="367" ht="15.75" customHeight="1">
      <c r="A367" s="54"/>
      <c r="B367" s="54"/>
      <c r="C367" s="54"/>
      <c r="D367" s="277"/>
      <c r="E367" s="277"/>
      <c r="F367" s="277"/>
      <c r="G367" s="277"/>
      <c r="H367" s="277"/>
      <c r="I367" s="277"/>
      <c r="J367" s="277"/>
      <c r="K367" s="277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</row>
    <row r="368" ht="15.75" customHeight="1">
      <c r="A368" s="54"/>
      <c r="B368" s="54"/>
      <c r="C368" s="54"/>
      <c r="D368" s="277"/>
      <c r="E368" s="277"/>
      <c r="F368" s="277"/>
      <c r="G368" s="277"/>
      <c r="H368" s="277"/>
      <c r="I368" s="277"/>
      <c r="J368" s="277"/>
      <c r="K368" s="277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</row>
    <row r="369" ht="15.75" customHeight="1">
      <c r="A369" s="54"/>
      <c r="B369" s="54"/>
      <c r="C369" s="54"/>
      <c r="D369" s="277"/>
      <c r="E369" s="277"/>
      <c r="F369" s="277"/>
      <c r="G369" s="277"/>
      <c r="H369" s="277"/>
      <c r="I369" s="277"/>
      <c r="J369" s="277"/>
      <c r="K369" s="277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</row>
    <row r="370" ht="15.75" customHeight="1">
      <c r="A370" s="54"/>
      <c r="B370" s="54"/>
      <c r="C370" s="54"/>
      <c r="D370" s="277"/>
      <c r="E370" s="277"/>
      <c r="F370" s="277"/>
      <c r="G370" s="277"/>
      <c r="H370" s="277"/>
      <c r="I370" s="277"/>
      <c r="J370" s="277"/>
      <c r="K370" s="277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</row>
    <row r="371" ht="15.75" customHeight="1">
      <c r="A371" s="54"/>
      <c r="B371" s="54"/>
      <c r="C371" s="54"/>
      <c r="D371" s="277"/>
      <c r="E371" s="277"/>
      <c r="F371" s="277"/>
      <c r="G371" s="277"/>
      <c r="H371" s="277"/>
      <c r="I371" s="277"/>
      <c r="J371" s="277"/>
      <c r="K371" s="277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</row>
    <row r="372" ht="15.75" customHeight="1">
      <c r="A372" s="54"/>
      <c r="B372" s="54"/>
      <c r="C372" s="54"/>
      <c r="D372" s="277"/>
      <c r="E372" s="277"/>
      <c r="F372" s="277"/>
      <c r="G372" s="277"/>
      <c r="H372" s="277"/>
      <c r="I372" s="277"/>
      <c r="J372" s="277"/>
      <c r="K372" s="277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</row>
    <row r="373" ht="15.75" customHeight="1">
      <c r="A373" s="54"/>
      <c r="B373" s="54"/>
      <c r="C373" s="54"/>
      <c r="D373" s="277"/>
      <c r="E373" s="277"/>
      <c r="F373" s="277"/>
      <c r="G373" s="277"/>
      <c r="H373" s="277"/>
      <c r="I373" s="277"/>
      <c r="J373" s="277"/>
      <c r="K373" s="277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</row>
    <row r="374" ht="15.75" customHeight="1">
      <c r="A374" s="54"/>
      <c r="B374" s="54"/>
      <c r="C374" s="54"/>
      <c r="D374" s="277"/>
      <c r="E374" s="277"/>
      <c r="F374" s="277"/>
      <c r="G374" s="277"/>
      <c r="H374" s="277"/>
      <c r="I374" s="277"/>
      <c r="J374" s="277"/>
      <c r="K374" s="277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</row>
    <row r="375" ht="15.75" customHeight="1">
      <c r="A375" s="54"/>
      <c r="B375" s="54"/>
      <c r="C375" s="54"/>
      <c r="D375" s="277"/>
      <c r="E375" s="277"/>
      <c r="F375" s="277"/>
      <c r="G375" s="277"/>
      <c r="H375" s="277"/>
      <c r="I375" s="277"/>
      <c r="J375" s="277"/>
      <c r="K375" s="277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</row>
    <row r="376" ht="15.75" customHeight="1">
      <c r="A376" s="54"/>
      <c r="B376" s="54"/>
      <c r="C376" s="54"/>
      <c r="D376" s="277"/>
      <c r="E376" s="277"/>
      <c r="F376" s="277"/>
      <c r="G376" s="277"/>
      <c r="H376" s="277"/>
      <c r="I376" s="277"/>
      <c r="J376" s="277"/>
      <c r="K376" s="277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</row>
    <row r="377" ht="15.75" customHeight="1">
      <c r="A377" s="54"/>
      <c r="B377" s="54"/>
      <c r="C377" s="54"/>
      <c r="D377" s="277"/>
      <c r="E377" s="277"/>
      <c r="F377" s="277"/>
      <c r="G377" s="277"/>
      <c r="H377" s="277"/>
      <c r="I377" s="277"/>
      <c r="J377" s="277"/>
      <c r="K377" s="277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</row>
    <row r="378" ht="15.75" customHeight="1">
      <c r="A378" s="54"/>
      <c r="B378" s="54"/>
      <c r="C378" s="54"/>
      <c r="D378" s="277"/>
      <c r="E378" s="277"/>
      <c r="F378" s="277"/>
      <c r="G378" s="277"/>
      <c r="H378" s="277"/>
      <c r="I378" s="277"/>
      <c r="J378" s="277"/>
      <c r="K378" s="277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</row>
    <row r="379" ht="15.75" customHeight="1">
      <c r="A379" s="54"/>
      <c r="B379" s="54"/>
      <c r="C379" s="54"/>
      <c r="D379" s="277"/>
      <c r="E379" s="277"/>
      <c r="F379" s="277"/>
      <c r="G379" s="277"/>
      <c r="H379" s="277"/>
      <c r="I379" s="277"/>
      <c r="J379" s="277"/>
      <c r="K379" s="277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</row>
    <row r="380" ht="15.75" customHeight="1">
      <c r="A380" s="54"/>
      <c r="B380" s="54"/>
      <c r="C380" s="54"/>
      <c r="D380" s="277"/>
      <c r="E380" s="277"/>
      <c r="F380" s="277"/>
      <c r="G380" s="277"/>
      <c r="H380" s="277"/>
      <c r="I380" s="277"/>
      <c r="J380" s="277"/>
      <c r="K380" s="277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</row>
    <row r="381" ht="15.75" customHeight="1">
      <c r="A381" s="54"/>
      <c r="B381" s="54"/>
      <c r="C381" s="54"/>
      <c r="D381" s="277"/>
      <c r="E381" s="277"/>
      <c r="F381" s="277"/>
      <c r="G381" s="277"/>
      <c r="H381" s="277"/>
      <c r="I381" s="277"/>
      <c r="J381" s="277"/>
      <c r="K381" s="277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</row>
    <row r="382" ht="15.75" customHeight="1">
      <c r="A382" s="54"/>
      <c r="B382" s="54"/>
      <c r="C382" s="54"/>
      <c r="D382" s="277"/>
      <c r="E382" s="277"/>
      <c r="F382" s="277"/>
      <c r="G382" s="277"/>
      <c r="H382" s="277"/>
      <c r="I382" s="277"/>
      <c r="J382" s="277"/>
      <c r="K382" s="277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</row>
    <row r="383" ht="15.75" customHeight="1">
      <c r="A383" s="54"/>
      <c r="B383" s="54"/>
      <c r="C383" s="54"/>
      <c r="D383" s="277"/>
      <c r="E383" s="277"/>
      <c r="F383" s="277"/>
      <c r="G383" s="277"/>
      <c r="H383" s="277"/>
      <c r="I383" s="277"/>
      <c r="J383" s="277"/>
      <c r="K383" s="277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</row>
    <row r="384" ht="15.75" customHeight="1">
      <c r="A384" s="54"/>
      <c r="B384" s="54"/>
      <c r="C384" s="54"/>
      <c r="D384" s="277"/>
      <c r="E384" s="277"/>
      <c r="F384" s="277"/>
      <c r="G384" s="277"/>
      <c r="H384" s="277"/>
      <c r="I384" s="277"/>
      <c r="J384" s="277"/>
      <c r="K384" s="277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</row>
    <row r="385" ht="15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</row>
    <row r="386" ht="15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</row>
    <row r="387" ht="15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</row>
    <row r="388" ht="15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</row>
    <row r="389" ht="15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</row>
    <row r="390" ht="15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</row>
    <row r="391" ht="15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</row>
    <row r="392" ht="15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</row>
    <row r="393" ht="15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</row>
    <row r="394" ht="15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</row>
    <row r="395" ht="15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</row>
    <row r="396" ht="15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</row>
    <row r="397" ht="15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</row>
    <row r="398" ht="15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</row>
    <row r="399" ht="15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</row>
    <row r="400" ht="15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</row>
    <row r="401" ht="15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</row>
    <row r="402" ht="15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</row>
    <row r="403" ht="15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</row>
    <row r="404" ht="15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</row>
    <row r="405" ht="15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</row>
    <row r="406" ht="15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</row>
    <row r="407" ht="15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</row>
    <row r="408" ht="15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</row>
    <row r="409" ht="15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</row>
    <row r="410" ht="15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</row>
    <row r="411" ht="15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</row>
    <row r="412" ht="15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</row>
    <row r="413" ht="15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</row>
    <row r="414" ht="15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</row>
    <row r="415" ht="15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</row>
    <row r="416" ht="15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</row>
    <row r="417" ht="15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</row>
    <row r="418" ht="15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</row>
    <row r="419" ht="15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</row>
    <row r="420" ht="15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</row>
    <row r="421" ht="15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</row>
    <row r="422" ht="15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</row>
    <row r="423" ht="15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</row>
    <row r="424" ht="15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</row>
    <row r="425" ht="15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</row>
    <row r="426" ht="15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</row>
    <row r="427" ht="15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</row>
    <row r="428" ht="15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</row>
    <row r="429" ht="15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</row>
    <row r="430" ht="15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</row>
    <row r="431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</row>
    <row r="432" ht="15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</row>
    <row r="433" ht="15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</row>
    <row r="434" ht="15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</row>
    <row r="435" ht="15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</row>
    <row r="436" ht="15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</row>
    <row r="437" ht="15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</row>
    <row r="438" ht="15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</row>
    <row r="439" ht="15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</row>
    <row r="440" ht="15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</row>
    <row r="441" ht="15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</row>
    <row r="442" ht="15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</row>
    <row r="443" ht="15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</row>
    <row r="444" ht="15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</row>
    <row r="445" ht="15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</row>
    <row r="446" ht="15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</row>
    <row r="447" ht="15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</row>
    <row r="448" ht="15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</row>
    <row r="449" ht="15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</row>
    <row r="450" ht="15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</row>
    <row r="451" ht="15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</row>
    <row r="452" ht="15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</row>
    <row r="453" ht="15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</row>
    <row r="454" ht="15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</row>
    <row r="455" ht="15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</row>
    <row r="456" ht="15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</row>
    <row r="457" ht="15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</row>
    <row r="458" ht="15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</row>
    <row r="459" ht="15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</row>
    <row r="460" ht="15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</row>
    <row r="461" ht="15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</row>
    <row r="462" ht="15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</row>
    <row r="463" ht="15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</row>
    <row r="464" ht="15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</row>
    <row r="465" ht="15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</row>
    <row r="466" ht="15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</row>
    <row r="467" ht="15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</row>
    <row r="468" ht="15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</row>
    <row r="469" ht="15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</row>
    <row r="470" ht="15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</row>
    <row r="471" ht="15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</row>
    <row r="472" ht="15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</row>
    <row r="473" ht="15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</row>
    <row r="474" ht="15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</row>
    <row r="475" ht="15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</row>
    <row r="476" ht="15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</row>
    <row r="477" ht="15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</row>
    <row r="478" ht="15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</row>
    <row r="479" ht="15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</row>
    <row r="480" ht="15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</row>
    <row r="481" ht="15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</row>
    <row r="482" ht="15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</row>
    <row r="483" ht="15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</row>
    <row r="484" ht="15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</row>
    <row r="485" ht="15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</row>
    <row r="486" ht="15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</row>
    <row r="487" ht="15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</row>
    <row r="488" ht="15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</row>
    <row r="489" ht="15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</row>
    <row r="490" ht="15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</row>
    <row r="491" ht="15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</row>
    <row r="492" ht="15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</row>
    <row r="493" ht="15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</row>
    <row r="494" ht="15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</row>
    <row r="495" ht="15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</row>
    <row r="496" ht="15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</row>
    <row r="497" ht="15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</row>
    <row r="498" ht="15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</row>
    <row r="499" ht="15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</row>
    <row r="500" ht="15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</row>
    <row r="501" ht="15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</row>
    <row r="502" ht="15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</row>
    <row r="503" ht="15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</row>
    <row r="504" ht="15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</row>
    <row r="505" ht="15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</row>
    <row r="506" ht="15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</row>
    <row r="507" ht="15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</row>
    <row r="508" ht="15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</row>
    <row r="509" ht="15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</row>
    <row r="510" ht="15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</row>
    <row r="511" ht="15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</row>
    <row r="512" ht="15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</row>
    <row r="513" ht="15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</row>
    <row r="514" ht="15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</row>
    <row r="515" ht="15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</row>
    <row r="516" ht="15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</row>
    <row r="517" ht="15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</row>
    <row r="518" ht="15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</row>
    <row r="519" ht="15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</row>
    <row r="520" ht="15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</row>
    <row r="521" ht="15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</row>
    <row r="522" ht="15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</row>
    <row r="523" ht="15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</row>
    <row r="524" ht="15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</row>
    <row r="525" ht="15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</row>
    <row r="526" ht="15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</row>
    <row r="527" ht="15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</row>
    <row r="528" ht="15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</row>
    <row r="529" ht="15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</row>
    <row r="530" ht="15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</row>
    <row r="531" ht="15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</row>
    <row r="532" ht="15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</row>
    <row r="533" ht="15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</row>
    <row r="534" ht="15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</row>
    <row r="535" ht="15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</row>
    <row r="536" ht="15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</row>
    <row r="537" ht="15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</row>
    <row r="538" ht="15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</row>
    <row r="539" ht="15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</row>
    <row r="540" ht="15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</row>
    <row r="541" ht="15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</row>
    <row r="542" ht="15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</row>
    <row r="543" ht="15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</row>
    <row r="544" ht="15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</row>
    <row r="545" ht="15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</row>
    <row r="546" ht="15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</row>
    <row r="547" ht="15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</row>
    <row r="548" ht="15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</row>
    <row r="549" ht="15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</row>
    <row r="550" ht="15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</row>
    <row r="551" ht="15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</row>
    <row r="552" ht="15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</row>
    <row r="553" ht="15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</row>
    <row r="554" ht="15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</row>
    <row r="555" ht="15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</row>
    <row r="556" ht="15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</row>
    <row r="557" ht="15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</row>
    <row r="558" ht="15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</row>
    <row r="559" ht="15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</row>
    <row r="560" ht="15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</row>
    <row r="561" ht="15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</row>
    <row r="562" ht="15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</row>
    <row r="563" ht="15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</row>
    <row r="564" ht="15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</row>
    <row r="565" ht="15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</row>
    <row r="566" ht="15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</row>
    <row r="567" ht="15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</row>
    <row r="568" ht="15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</row>
    <row r="569" ht="15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</row>
    <row r="570" ht="15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</row>
    <row r="571" ht="15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</row>
    <row r="572" ht="15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</row>
    <row r="573" ht="15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</row>
    <row r="574" ht="15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</row>
    <row r="575" ht="15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</row>
    <row r="576" ht="15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</row>
    <row r="577" ht="15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</row>
    <row r="578" ht="15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</row>
    <row r="579" ht="15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</row>
    <row r="580" ht="15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</row>
    <row r="581" ht="15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</row>
    <row r="582" ht="15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</row>
    <row r="583" ht="15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</row>
    <row r="584" ht="15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</row>
    <row r="585" ht="15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</row>
    <row r="586" ht="15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</row>
    <row r="587" ht="15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</row>
    <row r="588" ht="15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</row>
    <row r="589" ht="15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</row>
    <row r="590" ht="15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</row>
    <row r="591" ht="15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</row>
    <row r="592" ht="15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</row>
    <row r="593" ht="15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</row>
    <row r="594" ht="15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</row>
    <row r="595" ht="15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</row>
    <row r="596" ht="15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</row>
    <row r="597" ht="15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</row>
    <row r="598" ht="15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</row>
    <row r="599" ht="15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</row>
    <row r="600" ht="15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</row>
    <row r="601" ht="15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</row>
    <row r="602" ht="15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</row>
    <row r="603" ht="15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</row>
    <row r="604" ht="15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</row>
    <row r="605" ht="15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</row>
    <row r="606" ht="15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</row>
    <row r="607" ht="15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</row>
    <row r="608" ht="15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</row>
    <row r="609" ht="15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</row>
    <row r="610" ht="15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</row>
    <row r="611" ht="15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</row>
    <row r="612" ht="15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</row>
    <row r="613" ht="15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</row>
    <row r="614" ht="15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</row>
    <row r="615" ht="15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</row>
    <row r="616" ht="15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</row>
    <row r="617" ht="15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</row>
    <row r="618" ht="15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</row>
    <row r="619" ht="15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</row>
    <row r="620" ht="15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</row>
    <row r="621" ht="15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</row>
    <row r="622" ht="15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</row>
    <row r="623" ht="15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</row>
    <row r="624" ht="15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</row>
    <row r="625" ht="15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</row>
    <row r="626" ht="15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</row>
    <row r="627" ht="15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</row>
    <row r="628" ht="15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</row>
    <row r="629" ht="15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</row>
    <row r="630" ht="15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</row>
    <row r="631" ht="15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</row>
    <row r="632" ht="15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</row>
    <row r="633" ht="15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</row>
    <row r="634" ht="15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</row>
    <row r="635" ht="15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</row>
    <row r="636" ht="15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</row>
    <row r="637" ht="15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</row>
    <row r="638" ht="15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</row>
    <row r="639" ht="15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</row>
    <row r="640" ht="15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</row>
    <row r="641" ht="15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</row>
    <row r="642" ht="15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</row>
    <row r="643" ht="15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</row>
    <row r="644" ht="15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</row>
    <row r="645" ht="15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</row>
    <row r="646" ht="15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</row>
    <row r="647" ht="15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</row>
    <row r="648" ht="15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</row>
    <row r="649" ht="15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</row>
    <row r="650" ht="15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</row>
    <row r="651" ht="15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</row>
    <row r="652" ht="15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</row>
    <row r="653" ht="15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</row>
    <row r="654" ht="15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</row>
    <row r="655" ht="15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</row>
    <row r="656" ht="15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</row>
    <row r="657" ht="15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</row>
    <row r="658" ht="15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</row>
    <row r="659" ht="15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</row>
    <row r="660" ht="15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</row>
    <row r="661" ht="15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</row>
    <row r="662" ht="15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</row>
    <row r="663" ht="15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</row>
    <row r="664" ht="15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</row>
    <row r="665" ht="15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</row>
    <row r="666" ht="15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</row>
    <row r="667" ht="15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</row>
    <row r="668" ht="15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</row>
    <row r="669" ht="15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</row>
    <row r="670" ht="15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</row>
    <row r="671" ht="15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</row>
    <row r="672" ht="15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</row>
    <row r="673" ht="15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</row>
    <row r="674" ht="15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</row>
    <row r="675" ht="15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</row>
    <row r="676" ht="15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</row>
    <row r="677" ht="15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</row>
    <row r="678" ht="15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</row>
    <row r="679" ht="15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</row>
    <row r="680" ht="15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</row>
    <row r="681" ht="15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</row>
    <row r="682" ht="15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</row>
    <row r="683" ht="15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</row>
    <row r="684" ht="15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</row>
    <row r="685" ht="15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</row>
    <row r="686" ht="15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</row>
    <row r="687" ht="15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</row>
    <row r="688" ht="15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</row>
    <row r="689" ht="15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</row>
    <row r="690" ht="15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</row>
    <row r="691" ht="15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</row>
    <row r="692" ht="15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</row>
    <row r="693" ht="15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</row>
    <row r="694" ht="15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</row>
    <row r="695" ht="15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</row>
    <row r="696" ht="15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</row>
    <row r="697" ht="15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</row>
    <row r="698" ht="15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</row>
    <row r="699" ht="15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</row>
    <row r="700" ht="15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</row>
    <row r="701" ht="15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</row>
    <row r="702" ht="15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</row>
    <row r="703" ht="15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</row>
    <row r="704" ht="15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</row>
    <row r="705" ht="15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</row>
    <row r="706" ht="15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</row>
    <row r="707" ht="15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</row>
    <row r="708" ht="15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</row>
    <row r="709" ht="15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</row>
    <row r="710" ht="15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</row>
    <row r="711" ht="15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</row>
    <row r="712" ht="15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</row>
    <row r="713" ht="15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</row>
    <row r="714" ht="15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</row>
    <row r="715" ht="15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</row>
    <row r="716" ht="15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</row>
    <row r="717" ht="15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</row>
    <row r="718" ht="15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</row>
    <row r="719" ht="15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</row>
    <row r="720" ht="15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</row>
    <row r="721" ht="15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</row>
    <row r="722" ht="15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</row>
    <row r="723" ht="15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</row>
    <row r="724" ht="15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</row>
    <row r="725" ht="15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</row>
    <row r="726" ht="15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</row>
    <row r="727" ht="15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</row>
    <row r="728" ht="15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</row>
    <row r="729" ht="15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</row>
    <row r="730" ht="15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</row>
    <row r="731" ht="15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</row>
    <row r="732" ht="15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</row>
    <row r="733" ht="15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</row>
    <row r="734" ht="15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</row>
    <row r="735" ht="15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</row>
    <row r="736" ht="15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</row>
    <row r="737" ht="15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</row>
    <row r="738" ht="15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</row>
    <row r="739" ht="15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</row>
    <row r="740" ht="15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</row>
    <row r="741" ht="15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</row>
    <row r="742" ht="15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</row>
    <row r="743" ht="15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</row>
    <row r="744" ht="15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</row>
    <row r="745" ht="15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</row>
    <row r="746" ht="15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</row>
    <row r="747" ht="15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</row>
    <row r="748" ht="15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</row>
    <row r="749" ht="15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</row>
    <row r="750" ht="15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</row>
    <row r="751" ht="15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</row>
    <row r="752" ht="15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</row>
    <row r="753" ht="15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</row>
    <row r="754" ht="15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</row>
    <row r="755" ht="15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</row>
    <row r="756" ht="15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</row>
    <row r="757" ht="15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</row>
    <row r="758" ht="15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</row>
    <row r="759" ht="15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</row>
    <row r="760" ht="15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</row>
    <row r="761" ht="15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</row>
    <row r="762" ht="15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</row>
    <row r="763" ht="15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</row>
    <row r="764" ht="15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</row>
    <row r="765" ht="15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</row>
    <row r="766" ht="15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</row>
    <row r="767" ht="15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</row>
    <row r="768" ht="15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</row>
    <row r="769" ht="15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</row>
    <row r="770" ht="15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</row>
    <row r="771" ht="15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</row>
    <row r="772" ht="15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</row>
    <row r="773" ht="15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</row>
    <row r="774" ht="15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</row>
    <row r="775" ht="15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</row>
    <row r="776" ht="15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</row>
    <row r="777" ht="15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</row>
    <row r="778" ht="15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</row>
    <row r="779" ht="15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</row>
    <row r="780" ht="15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</row>
    <row r="781" ht="15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</row>
    <row r="782" ht="15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</row>
    <row r="783" ht="15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</row>
    <row r="784" ht="15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</row>
    <row r="785" ht="15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</row>
    <row r="786" ht="15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</row>
    <row r="787" ht="15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</row>
    <row r="788" ht="15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</row>
    <row r="789" ht="15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</row>
    <row r="790" ht="15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</row>
    <row r="791" ht="15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</row>
    <row r="792" ht="15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</row>
    <row r="793" ht="15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</row>
    <row r="794" ht="15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</row>
    <row r="795" ht="15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</row>
    <row r="796" ht="15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</row>
    <row r="797" ht="15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</row>
    <row r="798" ht="15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</row>
    <row r="799" ht="15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</row>
    <row r="800" ht="15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</row>
    <row r="801" ht="15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</row>
    <row r="802" ht="15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</row>
    <row r="803" ht="15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</row>
    <row r="804" ht="15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</row>
    <row r="805" ht="15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</row>
    <row r="806" ht="15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</row>
    <row r="807" ht="15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</row>
    <row r="808" ht="15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</row>
    <row r="809" ht="15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</row>
    <row r="810" ht="15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</row>
    <row r="811" ht="15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</row>
    <row r="812" ht="15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</row>
    <row r="813" ht="15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</row>
    <row r="814" ht="15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</row>
    <row r="815" ht="15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</row>
    <row r="816" ht="15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</row>
    <row r="817" ht="15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</row>
    <row r="818" ht="15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</row>
    <row r="819" ht="15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</row>
    <row r="820" ht="15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</row>
    <row r="821" ht="15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</row>
    <row r="822" ht="15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</row>
    <row r="823" ht="15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</row>
    <row r="824" ht="15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</row>
    <row r="825" ht="15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</row>
    <row r="826" ht="15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</row>
    <row r="827" ht="15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</row>
    <row r="828" ht="15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</row>
    <row r="829" ht="15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</row>
    <row r="830" ht="15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</row>
    <row r="831" ht="15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</row>
    <row r="832" ht="15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</row>
    <row r="833" ht="15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</row>
    <row r="834" ht="15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</row>
    <row r="835" ht="15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</row>
    <row r="836" ht="15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</row>
    <row r="837" ht="15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</row>
    <row r="838" ht="15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</row>
    <row r="839" ht="15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</row>
    <row r="840" ht="15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</row>
    <row r="841" ht="15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</row>
    <row r="842" ht="15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</row>
    <row r="843" ht="15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</row>
    <row r="844" ht="15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</row>
    <row r="845" ht="15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</row>
    <row r="846" ht="15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</row>
    <row r="847" ht="15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</row>
    <row r="848" ht="15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</row>
    <row r="849" ht="15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</row>
    <row r="850" ht="15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</row>
    <row r="851" ht="15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</row>
    <row r="852" ht="15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</row>
    <row r="853" ht="15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</row>
    <row r="854" ht="15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</row>
    <row r="855" ht="15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</row>
    <row r="856" ht="15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</row>
    <row r="857" ht="15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</row>
    <row r="858" ht="15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</row>
    <row r="859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</row>
    <row r="860" ht="15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</row>
    <row r="861" ht="15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</row>
    <row r="862" ht="15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</row>
    <row r="863" ht="15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</row>
    <row r="864" ht="15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</row>
    <row r="865" ht="15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</row>
    <row r="866" ht="15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</row>
    <row r="867" ht="15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</row>
    <row r="868" ht="15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</row>
    <row r="869" ht="15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</row>
    <row r="870" ht="15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</row>
    <row r="871" ht="15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</row>
    <row r="872" ht="15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</row>
    <row r="873" ht="15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</row>
    <row r="874" ht="15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</row>
    <row r="875" ht="15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</row>
    <row r="876" ht="15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</row>
    <row r="877" ht="15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</row>
    <row r="878" ht="15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</row>
    <row r="879" ht="15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</row>
    <row r="880" ht="15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</row>
    <row r="881" ht="15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</row>
    <row r="882" ht="15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</row>
    <row r="883" ht="15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</row>
    <row r="884" ht="15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</row>
    <row r="885" ht="15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</row>
    <row r="886" ht="15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</row>
    <row r="887" ht="15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</row>
    <row r="888" ht="15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</row>
    <row r="889" ht="15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</row>
    <row r="890" ht="15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</row>
    <row r="891" ht="15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</row>
    <row r="892" ht="15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</row>
    <row r="893" ht="15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</row>
    <row r="894" ht="15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</row>
    <row r="895" ht="15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</row>
    <row r="896" ht="15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</row>
    <row r="897" ht="15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</row>
    <row r="898" ht="15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</row>
    <row r="899" ht="15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</row>
    <row r="900" ht="15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</row>
    <row r="901" ht="15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</row>
    <row r="902" ht="15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</row>
    <row r="903" ht="15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</row>
    <row r="904" ht="15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</row>
    <row r="905" ht="15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</row>
    <row r="906" ht="15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</row>
    <row r="907" ht="15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</row>
    <row r="908" ht="15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</row>
    <row r="909" ht="15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</row>
    <row r="910" ht="15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</row>
    <row r="911" ht="15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</row>
    <row r="912" ht="15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</row>
    <row r="913" ht="15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</row>
    <row r="914" ht="15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</row>
    <row r="915" ht="15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</row>
    <row r="916" ht="15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</row>
    <row r="917" ht="15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</row>
    <row r="918" ht="15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</row>
    <row r="919" ht="15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</row>
    <row r="920" ht="15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</row>
    <row r="921" ht="15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</row>
    <row r="922" ht="15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</row>
    <row r="923" ht="15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</row>
    <row r="924" ht="15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</row>
    <row r="925" ht="15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</row>
    <row r="926" ht="15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</row>
    <row r="927" ht="15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</row>
    <row r="928" ht="15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</row>
    <row r="929" ht="15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</row>
    <row r="930" ht="15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</row>
    <row r="931" ht="15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</row>
    <row r="932" ht="15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</row>
    <row r="933" ht="15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</row>
    <row r="934" ht="15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</row>
    <row r="935" ht="15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</row>
    <row r="936" ht="15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</row>
    <row r="937" ht="15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</row>
    <row r="938" ht="15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</row>
    <row r="939" ht="15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</row>
    <row r="940" ht="15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</row>
    <row r="941" ht="15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</row>
    <row r="942" ht="15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</row>
    <row r="943" ht="15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</row>
    <row r="944" ht="15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</row>
    <row r="945" ht="15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</row>
    <row r="946" ht="15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</row>
    <row r="947" ht="15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</row>
    <row r="948" ht="15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</row>
    <row r="949" ht="15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</row>
    <row r="950" ht="15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</row>
    <row r="951" ht="15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</row>
    <row r="952" ht="15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</row>
    <row r="953" ht="15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</row>
    <row r="954" ht="15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</row>
    <row r="955" ht="15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</row>
    <row r="956" ht="15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</row>
    <row r="957" ht="15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</row>
    <row r="958" ht="15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</row>
    <row r="959" ht="15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</row>
    <row r="960" ht="15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</row>
    <row r="961" ht="15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</row>
    <row r="962" ht="15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</row>
    <row r="963" ht="15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</row>
    <row r="964" ht="15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</row>
    <row r="965" ht="15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</row>
    <row r="966" ht="15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</row>
    <row r="967" ht="15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</row>
    <row r="968" ht="15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</row>
    <row r="969" ht="15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</row>
    <row r="970" ht="15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</row>
    <row r="971" ht="15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</row>
    <row r="972" ht="15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</row>
    <row r="973" ht="15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</row>
    <row r="974" ht="15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</row>
    <row r="975" ht="15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</row>
    <row r="976" ht="15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</row>
    <row r="977" ht="15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</row>
    <row r="978" ht="15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</row>
    <row r="979" ht="15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</row>
    <row r="980" ht="15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</row>
    <row r="981" ht="15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</row>
    <row r="982" ht="15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</row>
    <row r="983" ht="15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</row>
    <row r="984" ht="15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</row>
    <row r="985" ht="15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</row>
    <row r="986" ht="15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</row>
    <row r="987" ht="15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</row>
    <row r="988" ht="15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</row>
    <row r="989" ht="15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</row>
    <row r="990" ht="15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</row>
    <row r="991" ht="15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</row>
    <row r="992" ht="15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</row>
    <row r="993" ht="15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</row>
    <row r="994" ht="15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</row>
    <row r="995" ht="15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</row>
    <row r="996" ht="15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</row>
    <row r="997" ht="15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</row>
    <row r="998" ht="15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</row>
    <row r="999" ht="15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</row>
    <row r="1000" ht="15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</row>
  </sheetData>
  <mergeCells count="5">
    <mergeCell ref="C3:D3"/>
    <mergeCell ref="E3:F3"/>
    <mergeCell ref="G3:H3"/>
    <mergeCell ref="I3:J3"/>
    <mergeCell ref="L3:M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C0C0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12.71"/>
    <col customWidth="1" min="2" max="2" width="39.57"/>
    <col customWidth="1" min="3" max="10" width="11.0"/>
    <col customWidth="1" min="11" max="26" width="9.14"/>
    <col customWidth="1" hidden="1" min="27" max="27" width="10.43"/>
    <col customWidth="1" hidden="1" min="28" max="28" width="14.14"/>
    <col customWidth="1" hidden="1" min="29" max="30" width="9.14"/>
    <col customWidth="1" hidden="1" min="31" max="98" width="8.0"/>
    <col customWidth="1" hidden="1" min="99" max="99" width="13.14"/>
  </cols>
  <sheetData>
    <row r="1" ht="15.75" customHeight="1">
      <c r="A1" s="51"/>
      <c r="B1" s="52" t="s">
        <v>388</v>
      </c>
      <c r="C1" s="7"/>
      <c r="D1" s="7"/>
      <c r="E1" s="7"/>
      <c r="F1" s="7"/>
      <c r="G1" s="7"/>
      <c r="H1" s="7"/>
      <c r="I1" s="7"/>
      <c r="J1" s="7"/>
      <c r="K1" s="51"/>
      <c r="L1" s="51"/>
      <c r="M1" s="51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278" t="s">
        <v>16</v>
      </c>
      <c r="AB1" s="278" t="s">
        <v>17</v>
      </c>
      <c r="AC1" s="278" t="s">
        <v>18</v>
      </c>
      <c r="AD1" s="278" t="s">
        <v>389</v>
      </c>
      <c r="AE1" s="279" t="s">
        <v>390</v>
      </c>
      <c r="AF1" s="280" t="s">
        <v>391</v>
      </c>
      <c r="AG1" s="281" t="s">
        <v>392</v>
      </c>
      <c r="AH1" s="282" t="s">
        <v>393</v>
      </c>
      <c r="AI1" s="283" t="s">
        <v>394</v>
      </c>
      <c r="AJ1" s="284" t="s">
        <v>395</v>
      </c>
      <c r="AK1" s="281" t="s">
        <v>396</v>
      </c>
      <c r="AL1" s="282" t="s">
        <v>397</v>
      </c>
      <c r="AM1" s="283" t="s">
        <v>398</v>
      </c>
      <c r="AN1" s="284" t="s">
        <v>399</v>
      </c>
      <c r="AO1" s="280" t="s">
        <v>400</v>
      </c>
      <c r="AP1" s="281" t="s">
        <v>401</v>
      </c>
      <c r="AQ1" s="282" t="s">
        <v>402</v>
      </c>
      <c r="AR1" s="283" t="s">
        <v>403</v>
      </c>
      <c r="AS1" s="284" t="s">
        <v>404</v>
      </c>
      <c r="AT1" s="280" t="s">
        <v>405</v>
      </c>
      <c r="AU1" s="281" t="s">
        <v>406</v>
      </c>
      <c r="AV1" s="282" t="s">
        <v>407</v>
      </c>
      <c r="AW1" s="283" t="s">
        <v>408</v>
      </c>
      <c r="AX1" s="284" t="s">
        <v>409</v>
      </c>
      <c r="AY1" s="280" t="s">
        <v>410</v>
      </c>
      <c r="AZ1" s="281" t="s">
        <v>411</v>
      </c>
      <c r="BA1" s="282" t="s">
        <v>412</v>
      </c>
      <c r="BB1" s="283" t="s">
        <v>413</v>
      </c>
      <c r="BC1" s="284" t="s">
        <v>414</v>
      </c>
      <c r="BD1" s="280" t="s">
        <v>415</v>
      </c>
      <c r="BE1" s="281" t="s">
        <v>416</v>
      </c>
      <c r="BF1" s="282" t="s">
        <v>417</v>
      </c>
      <c r="BG1" s="283" t="s">
        <v>418</v>
      </c>
      <c r="BH1" s="284" t="s">
        <v>419</v>
      </c>
      <c r="BI1" s="280" t="s">
        <v>420</v>
      </c>
      <c r="BJ1" s="281" t="s">
        <v>421</v>
      </c>
      <c r="BK1" s="282" t="s">
        <v>422</v>
      </c>
      <c r="BL1" s="283" t="s">
        <v>423</v>
      </c>
      <c r="BM1" s="281" t="s">
        <v>424</v>
      </c>
      <c r="BN1" s="284" t="s">
        <v>425</v>
      </c>
      <c r="BO1" s="282" t="s">
        <v>426</v>
      </c>
      <c r="BP1" s="280" t="s">
        <v>427</v>
      </c>
      <c r="BQ1" s="281" t="s">
        <v>428</v>
      </c>
      <c r="BR1" s="282" t="s">
        <v>429</v>
      </c>
      <c r="BS1" s="283" t="s">
        <v>430</v>
      </c>
      <c r="BT1" s="284" t="s">
        <v>431</v>
      </c>
      <c r="BU1" s="280" t="s">
        <v>432</v>
      </c>
      <c r="BV1" s="281" t="s">
        <v>433</v>
      </c>
      <c r="BW1" s="282" t="s">
        <v>434</v>
      </c>
      <c r="BX1" s="283" t="s">
        <v>435</v>
      </c>
      <c r="BY1" s="284" t="s">
        <v>436</v>
      </c>
      <c r="BZ1" s="280" t="s">
        <v>437</v>
      </c>
      <c r="CA1" s="281" t="s">
        <v>438</v>
      </c>
      <c r="CB1" s="282" t="s">
        <v>439</v>
      </c>
      <c r="CC1" s="283" t="s">
        <v>440</v>
      </c>
      <c r="CD1" s="284" t="s">
        <v>441</v>
      </c>
      <c r="CE1" s="280" t="s">
        <v>442</v>
      </c>
      <c r="CF1" s="281" t="s">
        <v>443</v>
      </c>
      <c r="CG1" s="282" t="s">
        <v>444</v>
      </c>
      <c r="CH1" s="283" t="s">
        <v>445</v>
      </c>
      <c r="CI1" s="284" t="s">
        <v>446</v>
      </c>
      <c r="CJ1" s="280" t="s">
        <v>447</v>
      </c>
      <c r="CK1" s="281" t="s">
        <v>448</v>
      </c>
      <c r="CL1" s="282" t="s">
        <v>449</v>
      </c>
      <c r="CM1" s="283" t="s">
        <v>450</v>
      </c>
      <c r="CN1" s="284" t="s">
        <v>451</v>
      </c>
      <c r="CO1" s="280" t="s">
        <v>452</v>
      </c>
      <c r="CP1" s="281" t="s">
        <v>453</v>
      </c>
      <c r="CQ1" s="282" t="s">
        <v>454</v>
      </c>
      <c r="CR1" s="283" t="s">
        <v>455</v>
      </c>
      <c r="CS1" s="285" t="s">
        <v>456</v>
      </c>
      <c r="CT1" s="278" t="s">
        <v>16</v>
      </c>
      <c r="CU1" s="278" t="s">
        <v>17</v>
      </c>
    </row>
    <row r="2" ht="16.5" customHeight="1">
      <c r="A2" s="51"/>
      <c r="B2" s="74" t="s">
        <v>457</v>
      </c>
      <c r="C2" s="53"/>
      <c r="D2" s="53"/>
      <c r="E2" s="53"/>
      <c r="F2" s="53"/>
      <c r="G2" s="53"/>
      <c r="H2" s="53"/>
      <c r="I2" s="53"/>
      <c r="J2" s="53"/>
      <c r="K2" s="51"/>
      <c r="L2" s="51"/>
      <c r="M2" s="51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286" t="s">
        <v>23</v>
      </c>
      <c r="AB2" s="286" t="s">
        <v>24</v>
      </c>
      <c r="AC2" s="287">
        <f>IF('Ship Data Imperial'!E3&gt;0,'Ship Data Imperial'!E3,AD2)</f>
        <v>0</v>
      </c>
      <c r="AD2" s="287">
        <f>'Ship Data Metric'!E3*0.03280839895</f>
        <v>0</v>
      </c>
      <c r="AE2" s="284">
        <f>IF(AC2&gt;0,Standing!$C$75*0.45,0)</f>
        <v>0</v>
      </c>
      <c r="AF2" s="280">
        <f>IF(AC2&gt;0,Standing!$C$75*0.25,0)</f>
        <v>0</v>
      </c>
      <c r="AG2" s="281">
        <f>IF(AC2&gt;0,Standing!$C$75*0.165,0)</f>
        <v>0</v>
      </c>
      <c r="AH2" s="282">
        <f>IF(AC2&gt;0,Standing!$C$75*0.6,0)</f>
        <v>0</v>
      </c>
      <c r="AI2" s="283">
        <f>IF(AC2&gt;0,Standing!$C$75*0.16,0)</f>
        <v>0</v>
      </c>
      <c r="AJ2" s="284">
        <f>IF(AC2&gt;0,Standing!$C$75*0.2,0)</f>
        <v>0</v>
      </c>
      <c r="AK2" s="281">
        <f>IF(AC2&gt;0,Standing!$C$81*0.5,0)</f>
        <v>0</v>
      </c>
      <c r="AL2" s="282">
        <f t="shared" ref="AL2:AL37" si="1">IF(AC2&gt;0,$C$206*0.5,0)</f>
        <v>0</v>
      </c>
      <c r="AM2" s="283">
        <f>IF(AC2&gt;0,Standing!$C$81*0.5,0)</f>
        <v>0</v>
      </c>
      <c r="AN2" s="284">
        <f>IF(AC2&gt;0,Standing!$C$81*0.45,0)</f>
        <v>0</v>
      </c>
      <c r="AO2" s="280">
        <f>IF(AC2&gt;0,Standing!$C$81*0.3,0)</f>
        <v>0</v>
      </c>
      <c r="AP2" s="281">
        <f>IF(AC2&gt;0,Standing!$C$81,0)</f>
        <v>0</v>
      </c>
      <c r="AQ2" s="282">
        <f>IF(AC2&gt;0,Standing!$C$85,0)</f>
        <v>0</v>
      </c>
      <c r="AR2" s="283">
        <f>IF(AC2&gt;0,Standing!$C$85*0.8,0)</f>
        <v>0</v>
      </c>
      <c r="AS2" s="284">
        <f>IF(AC2&gt;0,Standing!$C$85*0.66,0)</f>
        <v>0</v>
      </c>
      <c r="AT2" s="280">
        <f>IF(AC2&gt;0,Standing!$C$85*0.5,0)</f>
        <v>0</v>
      </c>
      <c r="AU2" s="281">
        <f>IF(AC2&gt;0,Standing!$C$75*0.2,0)</f>
        <v>0</v>
      </c>
      <c r="AV2" s="282">
        <f>IF(AC2&gt;0,Standing!$C$75*0.12,0)</f>
        <v>0</v>
      </c>
      <c r="AW2" s="283">
        <f>IF(AC2&gt;0,Standing!$C$26*0.4,0)</f>
        <v>0</v>
      </c>
      <c r="AX2" s="284">
        <f>IF(AC2&gt;0,Standing!$C$26*0.4,0)</f>
        <v>0</v>
      </c>
      <c r="AY2" s="280">
        <f>IF(AC2&gt;0,Standing!$C$26*0.2,0)</f>
        <v>0</v>
      </c>
      <c r="AZ2" s="281">
        <f>IF(AC2&gt;0,Standing!$C$26*0.4,0)</f>
        <v>0</v>
      </c>
      <c r="BA2" s="282">
        <f>IF(AC2&gt;0,Standing!$C$26*0.2,0)</f>
        <v>0</v>
      </c>
      <c r="BB2" s="283">
        <f>IF(AC2&gt;0,Standing!$C$26*0.2,0)</f>
        <v>0</v>
      </c>
      <c r="BC2" s="284">
        <f>IF(AC2&gt;0,Standing!$C$32*0.4,0)</f>
        <v>0</v>
      </c>
      <c r="BD2" s="280">
        <f>IF(AC2&gt;0,Standing!$C$32*0.6,0)</f>
        <v>0</v>
      </c>
      <c r="BE2" s="281">
        <f>IF(AC2&gt;0,Standing!$C$32*0.4,0)</f>
        <v>0</v>
      </c>
      <c r="BF2" s="282">
        <f>IF(AC2&gt;0,Standing!$C$32*0.5,0)</f>
        <v>0</v>
      </c>
      <c r="BG2" s="283">
        <f>IF(AC2&gt;0,Standing!$C$32*0.5,0)</f>
        <v>0</v>
      </c>
      <c r="BH2" s="284">
        <f>IF(AC2&gt;0,Standing!$C$32*0.33,0)</f>
        <v>0</v>
      </c>
      <c r="BI2" s="280">
        <f>IF(AC2&gt;0,Standing!$C$26*0.5,0)</f>
        <v>0</v>
      </c>
      <c r="BJ2" s="281">
        <f>IF(AC2&gt;0,Standing!$C$26*0.5,0)</f>
        <v>0</v>
      </c>
      <c r="BK2" s="282">
        <f>IF(AC2&gt;0,Standing!$C$26*0.6,0)</f>
        <v>0</v>
      </c>
      <c r="BL2" s="283">
        <f>IF(AC2&gt;0,Standing!$C$32,0)</f>
        <v>0</v>
      </c>
      <c r="BM2" s="281">
        <f>IF(AC2&gt;0,Standing!$C$32*0.9,0)</f>
        <v>0</v>
      </c>
      <c r="BN2" s="284">
        <f t="shared" ref="BN2:BN37" si="2">IF(AC2&gt;0,C81*0.5,0)</f>
        <v>0</v>
      </c>
      <c r="BO2" s="282">
        <f>IF(AC2&gt;0,Standing!$C$32*0.5,0)</f>
        <v>0</v>
      </c>
      <c r="BP2" s="280">
        <f>IF(AC2&gt;0,Standing!$C$32*0.5,0)</f>
        <v>0</v>
      </c>
      <c r="BQ2" s="281">
        <f>IF(AC2&gt;0,Standing!$C$32*0.5,0)</f>
        <v>0</v>
      </c>
      <c r="BR2" s="282">
        <f>IF(AC2&gt;0,Standing!$C$32*0.4,0)</f>
        <v>0</v>
      </c>
      <c r="BS2" s="283">
        <f>IF(AC2&gt;0,Standing!$C$32*0.33,0)</f>
        <v>0</v>
      </c>
      <c r="BT2" s="284">
        <f>IF(AC2&gt;0,Standing!$C$32*0.3,0)</f>
        <v>0</v>
      </c>
      <c r="BU2" s="280">
        <f>IF(AC2&gt;0,Standing!$C$36,0)</f>
        <v>0</v>
      </c>
      <c r="BV2" s="281">
        <f>IF(AC2&gt;0,Standing!$C$36*0.66,0)</f>
        <v>0</v>
      </c>
      <c r="BW2" s="282">
        <f>IF(AC2&gt;0,Standing!$C$126*0.75,0)</f>
        <v>0</v>
      </c>
      <c r="BX2" s="283">
        <f>IF(AC2&gt;0,Standing!$C$126*0.66,0)</f>
        <v>0</v>
      </c>
      <c r="BY2" s="284">
        <f>IF(AC2&gt;0,Standing!$C$126*0.66,0)</f>
        <v>0</v>
      </c>
      <c r="BZ2" s="280">
        <f>IF(AC2&gt;0,Standing!$C$126*0.5,0)</f>
        <v>0</v>
      </c>
      <c r="CA2" s="281">
        <f>IF(AC2&gt;0,Standing!$C$132,0)</f>
        <v>0</v>
      </c>
      <c r="CB2" s="282">
        <f>IF(AC2&gt;0,Standing!$C$132*0.75,0)</f>
        <v>0</v>
      </c>
      <c r="CC2" s="283">
        <f>IF(AC2&gt;0,Standing!$C$132,0)</f>
        <v>0</v>
      </c>
      <c r="CD2" s="284">
        <f>IF(AC2&gt;0,Standing!$C$132*0.75,0)</f>
        <v>0</v>
      </c>
      <c r="CE2" s="280">
        <f>IF(AC2&gt;0,Standing!$C$132*0.4,0)</f>
        <v>0</v>
      </c>
      <c r="CF2" s="281">
        <f>IF(AC2&gt;0,Standing!$C$132*0.75,0)</f>
        <v>0</v>
      </c>
      <c r="CG2" s="282">
        <f>IF(AC2&gt;0,Standing!$C$132*0.66,0)</f>
        <v>0</v>
      </c>
      <c r="CH2" s="283">
        <f>IF(AC2&gt;0,Standing!$C$132*0.75,0)</f>
        <v>0</v>
      </c>
      <c r="CI2" s="284">
        <f>IF(AC2&gt;0,Standing!$C$132*0.66,0)</f>
        <v>0</v>
      </c>
      <c r="CJ2" s="280">
        <f>IF(AC2&gt;0,Standing!$C$132*0.66,0)</f>
        <v>0</v>
      </c>
      <c r="CK2" s="281">
        <f>IF(AC2&gt;0,Standing!$C$126,0)</f>
        <v>0</v>
      </c>
      <c r="CL2" s="282">
        <f>IF(AC2&gt;0,Standing!$C$126,0)</f>
        <v>0</v>
      </c>
      <c r="CM2" s="283">
        <f>IF(AC2&gt;0,Standing!$C$126,0)</f>
        <v>0</v>
      </c>
      <c r="CN2" s="284">
        <f>IF(AC2&gt;0,Standing!$C$126*0.66,0)</f>
        <v>0</v>
      </c>
      <c r="CO2" s="280">
        <f>IF(AC2&gt;0,Standing!$C$126*0.5,0)</f>
        <v>0</v>
      </c>
      <c r="CP2" s="281">
        <f>IF(AC2&gt;0,Standing!$C$26*0.25,0)</f>
        <v>0</v>
      </c>
      <c r="CQ2" s="282">
        <f>IF(AC2&gt;0,Standing!$C$26*0.165,0)</f>
        <v>0</v>
      </c>
      <c r="CR2" s="283">
        <f>IF(AC2&gt;0,Standing!$C$26*0.2,0)</f>
        <v>0</v>
      </c>
      <c r="CS2" s="285">
        <f>IF(AC2&gt;0,Standing!$C$26*0.16,0)</f>
        <v>0</v>
      </c>
      <c r="CT2" s="286" t="s">
        <v>23</v>
      </c>
      <c r="CU2" s="286" t="s">
        <v>24</v>
      </c>
    </row>
    <row r="3" ht="15.75" customHeight="1">
      <c r="A3" s="51"/>
      <c r="B3" s="89" t="s">
        <v>206</v>
      </c>
      <c r="C3" s="235" t="s">
        <v>83</v>
      </c>
      <c r="D3" s="91"/>
      <c r="E3" s="92" t="s">
        <v>84</v>
      </c>
      <c r="F3" s="91"/>
      <c r="G3" s="177" t="s">
        <v>458</v>
      </c>
      <c r="H3" s="91"/>
      <c r="I3" s="236" t="s">
        <v>459</v>
      </c>
      <c r="J3" s="91"/>
      <c r="K3" s="51"/>
      <c r="L3" s="51"/>
      <c r="M3" s="51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286"/>
      <c r="AB3" s="286" t="s">
        <v>25</v>
      </c>
      <c r="AC3" s="287">
        <f>IF('Ship Data Imperial'!E4&gt;0,'Ship Data Imperial'!E4,AD3)</f>
        <v>0</v>
      </c>
      <c r="AD3" s="287">
        <f>'Ship Data Metric'!E4*0.03280839895</f>
        <v>0</v>
      </c>
      <c r="AE3" s="284">
        <f>IF(AC3&gt;0,Standing!$C$75*0.45,0)</f>
        <v>0</v>
      </c>
      <c r="AF3" s="280">
        <f>IF(AC3&gt;0,Standing!$C$75*0.25,0)</f>
        <v>0</v>
      </c>
      <c r="AG3" s="281">
        <f>IF(AC3&gt;0,Standing!$C$75*0.165,0)</f>
        <v>0</v>
      </c>
      <c r="AH3" s="282">
        <f>IF(AC3&gt;0,Standing!$C$75*0.6,0)</f>
        <v>0</v>
      </c>
      <c r="AI3" s="283">
        <f>IF(AC3&gt;0,Standing!$C$75*0.16,0)</f>
        <v>0</v>
      </c>
      <c r="AJ3" s="284">
        <f>IF(AC3&gt;0,Standing!$C$75*0.2,0)</f>
        <v>0</v>
      </c>
      <c r="AK3" s="281">
        <f>IF(AC3&gt;0,Standing!$C$81*0.5,0)</f>
        <v>0</v>
      </c>
      <c r="AL3" s="282">
        <f t="shared" si="1"/>
        <v>0</v>
      </c>
      <c r="AM3" s="283">
        <f>IF(AC3&gt;0,Standing!$C$81*0.5,0)</f>
        <v>0</v>
      </c>
      <c r="AN3" s="284">
        <f>IF(AC3&gt;0,Standing!$C$81*0.45,0)</f>
        <v>0</v>
      </c>
      <c r="AO3" s="280">
        <f>IF(AC3&gt;0,Standing!$C$81*0.3,0)</f>
        <v>0</v>
      </c>
      <c r="AP3" s="281">
        <f>IF(AC3&gt;0,Standing!$C$81,0)</f>
        <v>0</v>
      </c>
      <c r="AQ3" s="282">
        <f>IF(AC3&gt;0,Standing!$C$85,0)</f>
        <v>0</v>
      </c>
      <c r="AR3" s="283">
        <f>IF(AC3&gt;0,Standing!$C$85*0.8,0)</f>
        <v>0</v>
      </c>
      <c r="AS3" s="284">
        <f>IF(AC3&gt;0,Standing!$C$85*0.66,0)</f>
        <v>0</v>
      </c>
      <c r="AT3" s="280">
        <f>IF(AC3&gt;0,Standing!$C$85*0.5,0)</f>
        <v>0</v>
      </c>
      <c r="AU3" s="281">
        <f>IF(AC3&gt;0,Standing!$C$75*0.2,0)</f>
        <v>0</v>
      </c>
      <c r="AV3" s="282">
        <f>IF(AC3&gt;0,Standing!$C$75*0.12,0)</f>
        <v>0</v>
      </c>
      <c r="AW3" s="283">
        <f>IF(AC3&gt;0,Standing!$C$26*0.4,0)</f>
        <v>0</v>
      </c>
      <c r="AX3" s="284">
        <f>IF(AC3&gt;0,Standing!$C$26*0.4,0)</f>
        <v>0</v>
      </c>
      <c r="AY3" s="280">
        <f>IF(AC3&gt;0,Standing!$C$26*0.2,0)</f>
        <v>0</v>
      </c>
      <c r="AZ3" s="281">
        <f>IF(AC3&gt;0,Standing!$C$26*0.4,0)</f>
        <v>0</v>
      </c>
      <c r="BA3" s="282">
        <f>IF(AC3&gt;0,Standing!$C$26*0.2,0)</f>
        <v>0</v>
      </c>
      <c r="BB3" s="283">
        <f>IF(AC3&gt;0,Standing!$C$26*0.2,0)</f>
        <v>0</v>
      </c>
      <c r="BC3" s="284">
        <f>IF(AC3&gt;0,Standing!$C$32*0.4,0)</f>
        <v>0</v>
      </c>
      <c r="BD3" s="280">
        <f>IF(AC3&gt;0,Standing!$C$32*0.6,0)</f>
        <v>0</v>
      </c>
      <c r="BE3" s="281">
        <f>IF(AC3&gt;0,Standing!$C$32*0.4,0)</f>
        <v>0</v>
      </c>
      <c r="BF3" s="282">
        <f>IF(AC3&gt;0,Standing!$C$32*0.5,0)</f>
        <v>0</v>
      </c>
      <c r="BG3" s="283">
        <f>IF(AC3&gt;0,Standing!$C$32*0.5,0)</f>
        <v>0</v>
      </c>
      <c r="BH3" s="284">
        <f>IF(AC3&gt;0,Standing!$C$32*0.33,0)</f>
        <v>0</v>
      </c>
      <c r="BI3" s="280">
        <f>IF(AC3&gt;0,Standing!$C$26*0.5,0)</f>
        <v>0</v>
      </c>
      <c r="BJ3" s="281">
        <f>IF(AC3&gt;0,Standing!$C$26*0.5,0)</f>
        <v>0</v>
      </c>
      <c r="BK3" s="282">
        <f>IF(AC3&gt;0,Standing!$C$26*0.6,0)</f>
        <v>0</v>
      </c>
      <c r="BL3" s="283">
        <f>IF(AC3&gt;0,Standing!$C$32,0)</f>
        <v>0</v>
      </c>
      <c r="BM3" s="281">
        <f>IF(AC3&gt;0,Standing!$C$32*0.9,0)</f>
        <v>0</v>
      </c>
      <c r="BN3" s="284">
        <f t="shared" si="2"/>
        <v>0</v>
      </c>
      <c r="BO3" s="282">
        <f>IF(AC3&gt;0,Standing!$C$32*0.5,0)</f>
        <v>0</v>
      </c>
      <c r="BP3" s="280">
        <f>IF(AC3&gt;0,Standing!$C$32*0.5,0)</f>
        <v>0</v>
      </c>
      <c r="BQ3" s="281">
        <f>IF(AC3&gt;0,Standing!$C$32*0.5,0)</f>
        <v>0</v>
      </c>
      <c r="BR3" s="282">
        <f>IF(AC3&gt;0,Standing!$C$32*0.4,0)</f>
        <v>0</v>
      </c>
      <c r="BS3" s="283">
        <f>IF(AC3&gt;0,Standing!$C$32*0.33,0)</f>
        <v>0</v>
      </c>
      <c r="BT3" s="284">
        <f>IF(AC3&gt;0,Standing!$C$32*0.3,0)</f>
        <v>0</v>
      </c>
      <c r="BU3" s="280">
        <f>IF(AC3&gt;0,Standing!$C$36,0)</f>
        <v>0</v>
      </c>
      <c r="BV3" s="281">
        <f>IF(AC3&gt;0,Standing!$C$36*0.66,0)</f>
        <v>0</v>
      </c>
      <c r="BW3" s="282">
        <f>IF(AC3&gt;0,Standing!$C$126*0.75,0)</f>
        <v>0</v>
      </c>
      <c r="BX3" s="283">
        <f>IF(AC3&gt;0,Standing!$C$126*0.66,0)</f>
        <v>0</v>
      </c>
      <c r="BY3" s="284">
        <f>IF(AC3&gt;0,Standing!$C$126*0.66,0)</f>
        <v>0</v>
      </c>
      <c r="BZ3" s="280">
        <f>IF(AC3&gt;0,Standing!$C$126*0.5,0)</f>
        <v>0</v>
      </c>
      <c r="CA3" s="281">
        <f>IF(AC3&gt;0,Standing!$C$132,0)</f>
        <v>0</v>
      </c>
      <c r="CB3" s="282">
        <f>IF(AC3&gt;0,Standing!$C$132*0.75,0)</f>
        <v>0</v>
      </c>
      <c r="CC3" s="283">
        <f>IF(AC3&gt;0,Standing!$C$132,0)</f>
        <v>0</v>
      </c>
      <c r="CD3" s="284">
        <f>IF(AC3&gt;0,Standing!$C$132*0.75,0)</f>
        <v>0</v>
      </c>
      <c r="CE3" s="280">
        <f>IF(AC3&gt;0,Standing!$C$132*0.4,0)</f>
        <v>0</v>
      </c>
      <c r="CF3" s="281">
        <f>IF(AC3&gt;0,Standing!$C$132*0.75,0)</f>
        <v>0</v>
      </c>
      <c r="CG3" s="282">
        <f>IF(AC3&gt;0,Standing!$C$132*0.66,0)</f>
        <v>0</v>
      </c>
      <c r="CH3" s="283">
        <f>IF(AC3&gt;0,Standing!$C$132*0.75,0)</f>
        <v>0</v>
      </c>
      <c r="CI3" s="284">
        <f>IF(AC3&gt;0,Standing!$C$132*0.66,0)</f>
        <v>0</v>
      </c>
      <c r="CJ3" s="280">
        <f>IF(AC3&gt;0,Standing!$C$132*0.66,0)</f>
        <v>0</v>
      </c>
      <c r="CK3" s="281">
        <f>IF(AC3&gt;0,Standing!$C$126,0)</f>
        <v>0</v>
      </c>
      <c r="CL3" s="282">
        <f>IF(AC3&gt;0,Standing!$C$126,0)</f>
        <v>0</v>
      </c>
      <c r="CM3" s="283">
        <f>IF(AC3&gt;0,Standing!$C$126,0)</f>
        <v>0</v>
      </c>
      <c r="CN3" s="284">
        <f>IF(AC3&gt;0,Standing!$C$126*0.66,0)</f>
        <v>0</v>
      </c>
      <c r="CO3" s="280">
        <f>IF(AC3&gt;0,Standing!$C$126*0.5,0)</f>
        <v>0</v>
      </c>
      <c r="CP3" s="281">
        <f>IF(AC3&gt;0,Standing!$C$26*0.25,0)</f>
        <v>0</v>
      </c>
      <c r="CQ3" s="282">
        <f>IF(AC3&gt;0,Standing!$C$26*0.165,0)</f>
        <v>0</v>
      </c>
      <c r="CR3" s="283">
        <f>IF(AC3&gt;0,Standing!$C$26*0.2,0)</f>
        <v>0</v>
      </c>
      <c r="CS3" s="285">
        <f>IF(AC3&gt;0,Standing!$C$26*0.16,0)</f>
        <v>0</v>
      </c>
      <c r="CT3" s="286"/>
      <c r="CU3" s="286" t="s">
        <v>25</v>
      </c>
    </row>
    <row r="4" ht="15.75" customHeight="1">
      <c r="A4" s="51"/>
      <c r="B4" s="97"/>
      <c r="C4" s="238" t="s">
        <v>209</v>
      </c>
      <c r="D4" s="99" t="s">
        <v>210</v>
      </c>
      <c r="E4" s="100" t="s">
        <v>209</v>
      </c>
      <c r="F4" s="101" t="s">
        <v>210</v>
      </c>
      <c r="G4" s="102" t="s">
        <v>209</v>
      </c>
      <c r="H4" s="239" t="s">
        <v>210</v>
      </c>
      <c r="I4" s="105" t="s">
        <v>209</v>
      </c>
      <c r="J4" s="240" t="s">
        <v>210</v>
      </c>
      <c r="K4" s="51"/>
      <c r="L4" s="51"/>
      <c r="M4" s="51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286"/>
      <c r="AB4" s="286" t="s">
        <v>26</v>
      </c>
      <c r="AC4" s="287">
        <f>IF('Ship Data Imperial'!E5&gt;0,'Ship Data Imperial'!E5,AD4)</f>
        <v>0</v>
      </c>
      <c r="AD4" s="287">
        <f>'Ship Data Metric'!E5*0.03280839895</f>
        <v>0</v>
      </c>
      <c r="AE4" s="284">
        <f>IF(AC4&gt;0,Standing!$C$75*0.45,0)</f>
        <v>0</v>
      </c>
      <c r="AF4" s="280">
        <f>IF(AC4&gt;0,Standing!$C$75*0.25,0)</f>
        <v>0</v>
      </c>
      <c r="AG4" s="281">
        <f>IF(AC4&gt;0,Standing!$C$75*0.2,0)</f>
        <v>0</v>
      </c>
      <c r="AH4" s="282">
        <f>IF(AC4&gt;0,Standing!$C$75*0.6,0)</f>
        <v>0</v>
      </c>
      <c r="AI4" s="283">
        <f>IF(AC4&gt;0,Standing!$C$75*0.2,0)</f>
        <v>0</v>
      </c>
      <c r="AJ4" s="284">
        <f>IF(AC4&gt;0,Standing!$C$75*0.25,0)</f>
        <v>0</v>
      </c>
      <c r="AK4" s="281">
        <f>IF(AC4&gt;0,Standing!$C$81*0.5,0)</f>
        <v>0</v>
      </c>
      <c r="AL4" s="282">
        <f t="shared" si="1"/>
        <v>0</v>
      </c>
      <c r="AM4" s="283">
        <f>IF(AC4&gt;0,Standing!$C$81*0.66,0)</f>
        <v>0</v>
      </c>
      <c r="AN4" s="284">
        <f>IF(AC4&gt;0,Standing!$C$81*0.45,0)</f>
        <v>0</v>
      </c>
      <c r="AO4" s="280">
        <f>IF(AC4&gt;0,Standing!$C$81*0.3,0)</f>
        <v>0</v>
      </c>
      <c r="AP4" s="281">
        <f>IF(AC4&gt;0,Standing!$C$81*0.9,0)</f>
        <v>0</v>
      </c>
      <c r="AQ4" s="282">
        <f>IF(AC4&gt;0,Standing!$C$85,0)</f>
        <v>0</v>
      </c>
      <c r="AR4" s="283">
        <f>IF(AC4&gt;0,Standing!$C$85*0.8,0)</f>
        <v>0</v>
      </c>
      <c r="AS4" s="284">
        <f>IF(AC4&gt;0,Standing!$C$85*0.66,0)</f>
        <v>0</v>
      </c>
      <c r="AT4" s="280">
        <f>IF(AC4&gt;0,Standing!$C$85*0.5,0)</f>
        <v>0</v>
      </c>
      <c r="AU4" s="281">
        <f>IF(AC4&gt;0,Standing!$C$75*0.2,0)</f>
        <v>0</v>
      </c>
      <c r="AV4" s="282">
        <f>IF(AC4&gt;0,Standing!$C$75*0.12,0)</f>
        <v>0</v>
      </c>
      <c r="AW4" s="283">
        <f>IF(AC4&gt;0,Standing!$C$26*0.4,0)</f>
        <v>0</v>
      </c>
      <c r="AX4" s="284">
        <f>IF(AC4&gt;0,Standing!$C$26*0.4,0)</f>
        <v>0</v>
      </c>
      <c r="AY4" s="280">
        <f>IF(AC4&gt;0,Standing!$C$26*0.2,0)</f>
        <v>0</v>
      </c>
      <c r="AZ4" s="281">
        <f>IF(AC4&gt;0,Standing!$C$26*0.4,0)</f>
        <v>0</v>
      </c>
      <c r="BA4" s="282">
        <f>IF(AC4&gt;0,Standing!$C$26*0.2,0)</f>
        <v>0</v>
      </c>
      <c r="BB4" s="283">
        <f>IF(AC4&gt;0,Standing!$C$26*0.2,0)</f>
        <v>0</v>
      </c>
      <c r="BC4" s="284">
        <f>IF(AC4&gt;0,Standing!$C$32*0.4,0)</f>
        <v>0</v>
      </c>
      <c r="BD4" s="280">
        <f>IF(AC4&gt;0,Standing!$C$32*0.6,0)</f>
        <v>0</v>
      </c>
      <c r="BE4" s="281">
        <f>IF(AC4&gt;0,Standing!$C$32*0.4,0)</f>
        <v>0</v>
      </c>
      <c r="BF4" s="282">
        <f>IF(AC4&gt;0,Standing!$C$32*0.5,0)</f>
        <v>0</v>
      </c>
      <c r="BG4" s="283">
        <f>IF(AC4&gt;0,Standing!$C$32*0.5,0)</f>
        <v>0</v>
      </c>
      <c r="BH4" s="284">
        <f>IF(AC4&gt;0,Standing!$C$32*0.4,0)</f>
        <v>0</v>
      </c>
      <c r="BI4" s="280">
        <f>IF(AC4&gt;0,Standing!$C$26*0.5,0)</f>
        <v>0</v>
      </c>
      <c r="BJ4" s="281">
        <f>IF(AC4&gt;0,Standing!$C$26*0.5,0)</f>
        <v>0</v>
      </c>
      <c r="BK4" s="282">
        <f>IF(AC4&gt;0,Standing!$C$26*0.6,0)</f>
        <v>0</v>
      </c>
      <c r="BL4" s="283">
        <f>IF(AC4&gt;0,Standing!$C$32,0)</f>
        <v>0</v>
      </c>
      <c r="BM4" s="281">
        <f>IF(AC4&gt;0,Standing!$C$32*0.85,0)</f>
        <v>0</v>
      </c>
      <c r="BN4" s="284">
        <f t="shared" si="2"/>
        <v>0</v>
      </c>
      <c r="BO4" s="282">
        <f>IF(AC4&gt;0,Standing!$C$32*0.5,0)</f>
        <v>0</v>
      </c>
      <c r="BP4" s="280">
        <f>IF(AC4&gt;0,Standing!$C$32*0.5,0)</f>
        <v>0</v>
      </c>
      <c r="BQ4" s="281">
        <f>IF(AC4&gt;0,Standing!$C$32*0.5,0)</f>
        <v>0</v>
      </c>
      <c r="BR4" s="282">
        <f>IF(AC4&gt;0,Standing!$C$32*0.4,0)</f>
        <v>0</v>
      </c>
      <c r="BS4" s="283">
        <f>IF(AC4&gt;0,Standing!$C$32*0.33,0)</f>
        <v>0</v>
      </c>
      <c r="BT4" s="284">
        <f>IF(AC4&gt;0,Standing!$C$32*0.3,0)</f>
        <v>0</v>
      </c>
      <c r="BU4" s="280">
        <f>IF(AC4&gt;0,Standing!$C$36,0)</f>
        <v>0</v>
      </c>
      <c r="BV4" s="281">
        <f>IF(AC4&gt;0,Standing!$C$36*0.66,0)</f>
        <v>0</v>
      </c>
      <c r="BW4" s="282">
        <f>IF(AC4&gt;0,Standing!$C$126*0.75,0)</f>
        <v>0</v>
      </c>
      <c r="BX4" s="283">
        <f>IF(AC4&gt;0,Standing!$C$126*0.66,0)</f>
        <v>0</v>
      </c>
      <c r="BY4" s="284">
        <f>IF(AC4&gt;0,Standing!$C$126*0.66,0)</f>
        <v>0</v>
      </c>
      <c r="BZ4" s="280">
        <f>IF(AC4&gt;0,Standing!$C$126*0.5,0)</f>
        <v>0</v>
      </c>
      <c r="CA4" s="281">
        <f>IF(AC4&gt;0,Standing!$C$132,0)</f>
        <v>0</v>
      </c>
      <c r="CB4" s="282">
        <f>IF(AC4&gt;0,Standing!$C$132*0.75,0)</f>
        <v>0</v>
      </c>
      <c r="CC4" s="283">
        <f>IF(AC4&gt;0,Standing!$C$132,0)</f>
        <v>0</v>
      </c>
      <c r="CD4" s="284">
        <f>IF(AC4&gt;0,Standing!$C$132*0.75,0)</f>
        <v>0</v>
      </c>
      <c r="CE4" s="280">
        <f>IF(AC4&gt;0,Standing!$C$132*0.4,0)</f>
        <v>0</v>
      </c>
      <c r="CF4" s="281">
        <f>IF(AC4&gt;0,Standing!$C$132*0.75,0)</f>
        <v>0</v>
      </c>
      <c r="CG4" s="282">
        <f>IF(AC4&gt;0,Standing!$C$132*0.66,0)</f>
        <v>0</v>
      </c>
      <c r="CH4" s="283">
        <f>IF(AC4&gt;0,Standing!$C$132*0.75,0)</f>
        <v>0</v>
      </c>
      <c r="CI4" s="284">
        <f>IF(AC4&gt;0,Standing!$C$132*0.66,0)</f>
        <v>0</v>
      </c>
      <c r="CJ4" s="280">
        <f>IF(AC4&gt;0,Standing!$C$132*0.66,0)</f>
        <v>0</v>
      </c>
      <c r="CK4" s="281">
        <f>IF(AC4&gt;0,Standing!$C$126,0)</f>
        <v>0</v>
      </c>
      <c r="CL4" s="282">
        <f>IF(AC4&gt;0,Standing!$C$126,0)</f>
        <v>0</v>
      </c>
      <c r="CM4" s="283">
        <f>IF(AC4&gt;0,Standing!$C$126,0)</f>
        <v>0</v>
      </c>
      <c r="CN4" s="284">
        <f>IF(AC4&gt;0,Standing!$C$126*0.66,0)</f>
        <v>0</v>
      </c>
      <c r="CO4" s="280">
        <f>IF(AC4&gt;0,Standing!$C$126*0.5,0)</f>
        <v>0</v>
      </c>
      <c r="CP4" s="281">
        <f>IF(AC4&gt;0,Standing!$C$26*0.25,0)</f>
        <v>0</v>
      </c>
      <c r="CQ4" s="282">
        <f>IF(AC4&gt;0,Standing!$C$26*0.2,0)</f>
        <v>0</v>
      </c>
      <c r="CR4" s="283">
        <f>IF(AC4&gt;0,Standing!$C$26*0.25,0)</f>
        <v>0</v>
      </c>
      <c r="CS4" s="285">
        <f>IF(AC4&gt;0,Standing!$C$26*0.2,0)</f>
        <v>0</v>
      </c>
      <c r="CT4" s="286"/>
      <c r="CU4" s="286" t="s">
        <v>26</v>
      </c>
    </row>
    <row r="5" ht="15.75" customHeight="1">
      <c r="A5" s="51"/>
      <c r="B5" s="288" t="s">
        <v>460</v>
      </c>
      <c r="C5" s="289">
        <f>Standing!$C$26*0.3</f>
        <v>1.768051181</v>
      </c>
      <c r="D5" s="110">
        <f t="shared" ref="D5:D361" si="3">C5/3.1416</f>
        <v>0.5627868542</v>
      </c>
      <c r="E5" s="180">
        <f t="shared" ref="E5:E162" si="4">C5*25.4</f>
        <v>44.9085</v>
      </c>
      <c r="F5" s="112">
        <f t="shared" ref="F5:F162" si="5">E5/3.1416</f>
        <v>14.2947861</v>
      </c>
      <c r="G5" s="113">
        <f>C5/Introduction!$I$20</f>
        <v>0.0184171998</v>
      </c>
      <c r="H5" s="137">
        <f t="shared" ref="H5:H361" si="6">G5/3.1416</f>
        <v>0.005862363064</v>
      </c>
      <c r="I5" s="115">
        <f>E5/Introduction!$I$20</f>
        <v>0.467796875</v>
      </c>
      <c r="J5" s="142">
        <f t="shared" ref="J5:J361" si="7">I5/3.1416</f>
        <v>0.1489040218</v>
      </c>
      <c r="K5" s="51"/>
      <c r="L5" s="51"/>
      <c r="M5" s="51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286"/>
      <c r="AB5" s="286" t="s">
        <v>27</v>
      </c>
      <c r="AC5" s="287">
        <f>IF('Ship Data Imperial'!E6&gt;0,'Ship Data Imperial'!E6,AD5)</f>
        <v>0</v>
      </c>
      <c r="AD5" s="287">
        <f>'Ship Data Metric'!E6*0.03280839895</f>
        <v>0</v>
      </c>
      <c r="AE5" s="284">
        <f>IF(AC5&gt;0,Standing!$C$75*0.45,0)</f>
        <v>0</v>
      </c>
      <c r="AF5" s="280">
        <f>IF(AC5&gt;0,Standing!$C$75*0.33,0)</f>
        <v>0</v>
      </c>
      <c r="AG5" s="281">
        <f>IF(AC5&gt;0,Standing!$C$75*0.2,0)</f>
        <v>0</v>
      </c>
      <c r="AH5" s="282">
        <f>IF(AC5&gt;0,Standing!$C$75*0.6,0)</f>
        <v>0</v>
      </c>
      <c r="AI5" s="283">
        <f>IF(AC5&gt;0,Standing!$C$75*0.2,0)</f>
        <v>0</v>
      </c>
      <c r="AJ5" s="284">
        <f>IF(AC5&gt;0,Standing!$C$75*0.25,0)</f>
        <v>0</v>
      </c>
      <c r="AK5" s="281">
        <f>IF(AC5&gt;0,Standing!$C$81*0.5,0)</f>
        <v>0</v>
      </c>
      <c r="AL5" s="282">
        <f t="shared" si="1"/>
        <v>0</v>
      </c>
      <c r="AM5" s="283">
        <f>IF(AC5&gt;0,Standing!$C$81*0.66,0)</f>
        <v>0</v>
      </c>
      <c r="AN5" s="284">
        <f>IF(AC5&gt;0,Standing!$C$81*0.45,0)</f>
        <v>0</v>
      </c>
      <c r="AO5" s="280">
        <f>IF(AC5&gt;0,Standing!$C$81*0.3,0)</f>
        <v>0</v>
      </c>
      <c r="AP5" s="281">
        <f>IF(AC5&gt;0,Standing!$C$81*0.9,0)</f>
        <v>0</v>
      </c>
      <c r="AQ5" s="282">
        <f>IF(AC5&gt;0,Standing!$C$85,0)</f>
        <v>0</v>
      </c>
      <c r="AR5" s="283">
        <f>IF(AC5&gt;0,Standing!$C$85*0.8,0)</f>
        <v>0</v>
      </c>
      <c r="AS5" s="284">
        <f>IF(AC5&gt;0,Standing!$C$85*0.66,0)</f>
        <v>0</v>
      </c>
      <c r="AT5" s="280">
        <f>IF(AC5&gt;0,Standing!$C$85*0.5,0)</f>
        <v>0</v>
      </c>
      <c r="AU5" s="281">
        <f>IF(AC5&gt;0,Standing!$C$75*0.25,0)</f>
        <v>0</v>
      </c>
      <c r="AV5" s="282">
        <f>IF(AC5&gt;0,Standing!$C$75*0.12,0)</f>
        <v>0</v>
      </c>
      <c r="AW5" s="283">
        <f>IF(AC5&gt;0,Standing!$C$26*0.4,0)</f>
        <v>0</v>
      </c>
      <c r="AX5" s="284">
        <f>IF(AC5&gt;0,Standing!$C$26*0.4,0)</f>
        <v>0</v>
      </c>
      <c r="AY5" s="280">
        <f>IF(AC5&gt;0,Standing!$C$26*0.2,0)</f>
        <v>0</v>
      </c>
      <c r="AZ5" s="281">
        <f>IF(AC5&gt;0,Standing!$C$26*0.4,0)</f>
        <v>0</v>
      </c>
      <c r="BA5" s="282">
        <f>IF(AC5&gt;0,Standing!$C$26*0.2,0)</f>
        <v>0</v>
      </c>
      <c r="BB5" s="283">
        <f>IF(AC5&gt;0,Standing!$C$26*0.2,0)</f>
        <v>0</v>
      </c>
      <c r="BC5" s="284">
        <f>IF(AC5&gt;0,Standing!$C$32*0.4,0)</f>
        <v>0</v>
      </c>
      <c r="BD5" s="280">
        <f>IF(AC5&gt;0,Standing!$C$32*0.6,0)</f>
        <v>0</v>
      </c>
      <c r="BE5" s="281">
        <f>IF(AC5&gt;0,Standing!$C$32*0.4,0)</f>
        <v>0</v>
      </c>
      <c r="BF5" s="282">
        <f>IF(AC5&gt;0,Standing!$C$32*0.5,0)</f>
        <v>0</v>
      </c>
      <c r="BG5" s="283">
        <f>IF(AC5&gt;0,Standing!$C$32*0.5,0)</f>
        <v>0</v>
      </c>
      <c r="BH5" s="284">
        <f>IF(AC5&gt;0,Standing!$C$32*0.4,0)</f>
        <v>0</v>
      </c>
      <c r="BI5" s="280">
        <f>IF(AC5&gt;0,Standing!$C$26*0.5,0)</f>
        <v>0</v>
      </c>
      <c r="BJ5" s="281">
        <f>IF(AC5&gt;0,Standing!$C$26*0.5,0)</f>
        <v>0</v>
      </c>
      <c r="BK5" s="282">
        <f>IF(AC5&gt;0,Standing!$C$26*0.6,0)</f>
        <v>0</v>
      </c>
      <c r="BL5" s="283">
        <f>IF(AC5&gt;0,Standing!$C$32,0)</f>
        <v>0</v>
      </c>
      <c r="BM5" s="281">
        <f>IF(AC5&gt;0,Standing!$C$32*0.85,0)</f>
        <v>0</v>
      </c>
      <c r="BN5" s="284">
        <f t="shared" si="2"/>
        <v>0</v>
      </c>
      <c r="BO5" s="282">
        <f>IF(AC5&gt;0,Standing!$C$32*0.45,0)</f>
        <v>0</v>
      </c>
      <c r="BP5" s="280">
        <f>IF(AC5&gt;0,Standing!$C$32*0.66,0)</f>
        <v>0</v>
      </c>
      <c r="BQ5" s="281">
        <f>IF(AC5&gt;0,Standing!$C$32*0.5,0)</f>
        <v>0</v>
      </c>
      <c r="BR5" s="282">
        <f>IF(AC5&gt;0,Standing!$C$32*0.4,0)</f>
        <v>0</v>
      </c>
      <c r="BS5" s="283">
        <f>IF(AC5&gt;0,Standing!$C$32*0.33,0)</f>
        <v>0</v>
      </c>
      <c r="BT5" s="284">
        <f>IF(AC5&gt;0,Standing!$C$32*0.3,0)</f>
        <v>0</v>
      </c>
      <c r="BU5" s="280">
        <f>IF(AC5&gt;0,Standing!$C$36,0)</f>
        <v>0</v>
      </c>
      <c r="BV5" s="281">
        <f>IF(AC5&gt;0,Standing!$C$36*0.66,0)</f>
        <v>0</v>
      </c>
      <c r="BW5" s="282">
        <f>IF(AC5&gt;0,Standing!$C$126*0.75,0)</f>
        <v>0</v>
      </c>
      <c r="BX5" s="283">
        <f>IF(AC5&gt;0,Standing!$C$126*0.33,0)</f>
        <v>0</v>
      </c>
      <c r="BY5" s="284">
        <f>IF(AC5&gt;0,Standing!$C$126*0.66,0)</f>
        <v>0</v>
      </c>
      <c r="BZ5" s="280">
        <f>IF(AC5&gt;0,Standing!$C$126*0.5,0)</f>
        <v>0</v>
      </c>
      <c r="CA5" s="281">
        <f>IF(AC5&gt;0,Standing!$C$132,0)</f>
        <v>0</v>
      </c>
      <c r="CB5" s="282">
        <f>IF(AC5&gt;0,Standing!$C$132*0.75,0)</f>
        <v>0</v>
      </c>
      <c r="CC5" s="283">
        <f>IF(AC5&gt;0,Standing!$C$132,0)</f>
        <v>0</v>
      </c>
      <c r="CD5" s="284">
        <f>IF(AC5&gt;0,Standing!$C$132*0.75,0)</f>
        <v>0</v>
      </c>
      <c r="CE5" s="280">
        <f>IF(AC5&gt;0,Standing!$C$132*0.5,0)</f>
        <v>0</v>
      </c>
      <c r="CF5" s="281">
        <f>IF(AC5&gt;0,Standing!$C$132*0.75,0)</f>
        <v>0</v>
      </c>
      <c r="CG5" s="282">
        <f>IF(AC5&gt;0,Standing!$C$132*0.66,0)</f>
        <v>0</v>
      </c>
      <c r="CH5" s="283">
        <f>IF(AC5&gt;0,Standing!$C$132*0.75,0)</f>
        <v>0</v>
      </c>
      <c r="CI5" s="284">
        <f>IF(AC5&gt;0,Standing!$C$132*0.66,0)</f>
        <v>0</v>
      </c>
      <c r="CJ5" s="280">
        <f>IF(AC5&gt;0,Standing!$C$132*0.66,0)</f>
        <v>0</v>
      </c>
      <c r="CK5" s="281">
        <f>IF(AC5&gt;0,Standing!$C$126,0)</f>
        <v>0</v>
      </c>
      <c r="CL5" s="282">
        <f>IF(AC5&gt;0,Standing!$C$126,0)</f>
        <v>0</v>
      </c>
      <c r="CM5" s="283">
        <f>IF(AC5&gt;0,Standing!$C$126,0)</f>
        <v>0</v>
      </c>
      <c r="CN5" s="284">
        <f>IF(AC5&gt;0,Standing!$C$126*0.66,0)</f>
        <v>0</v>
      </c>
      <c r="CO5" s="280">
        <f>IF(AC5&gt;0,Standing!$C$126*0.5,0)</f>
        <v>0</v>
      </c>
      <c r="CP5" s="281">
        <f>IF(AC5&gt;0,Standing!$C$26*0.33,0)</f>
        <v>0</v>
      </c>
      <c r="CQ5" s="282">
        <f>IF(AC5&gt;0,Standing!$C$26*0.2,0)</f>
        <v>0</v>
      </c>
      <c r="CR5" s="283">
        <f>IF(AC5&gt;0,Standing!$C$26*0.25,0)</f>
        <v>0</v>
      </c>
      <c r="CS5" s="285">
        <f>IF(AC5&gt;0,Standing!$C$26*0.2,0)</f>
        <v>0</v>
      </c>
      <c r="CT5" s="286"/>
      <c r="CU5" s="286" t="s">
        <v>27</v>
      </c>
    </row>
    <row r="6">
      <c r="A6" s="51"/>
      <c r="B6" s="290" t="s">
        <v>461</v>
      </c>
      <c r="C6" s="119">
        <f>AW136</f>
        <v>1.944856299</v>
      </c>
      <c r="D6" s="218">
        <f t="shared" si="3"/>
        <v>0.6190655396</v>
      </c>
      <c r="E6" s="190">
        <f t="shared" si="4"/>
        <v>49.39935</v>
      </c>
      <c r="F6" s="122">
        <f t="shared" si="5"/>
        <v>15.72426471</v>
      </c>
      <c r="G6" s="123">
        <f>C6/Introduction!$I$20</f>
        <v>0.02025891978</v>
      </c>
      <c r="H6" s="192">
        <f t="shared" si="6"/>
        <v>0.006448599371</v>
      </c>
      <c r="I6" s="124">
        <f>E6/Introduction!$I$20</f>
        <v>0.5145765625</v>
      </c>
      <c r="J6" s="125">
        <f t="shared" si="7"/>
        <v>0.163794424</v>
      </c>
      <c r="K6" s="51"/>
      <c r="L6" s="51"/>
      <c r="M6" s="51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286"/>
      <c r="AB6" s="286" t="s">
        <v>28</v>
      </c>
      <c r="AC6" s="287">
        <f>IF('Ship Data Imperial'!E7&gt;0,'Ship Data Imperial'!E7,AD6)</f>
        <v>0</v>
      </c>
      <c r="AD6" s="287">
        <f>'Ship Data Metric'!E7*0.03280839895</f>
        <v>0</v>
      </c>
      <c r="AE6" s="284">
        <f>IF(AC6&gt;0,Standing!$C$75*0.65,0)</f>
        <v>0</v>
      </c>
      <c r="AF6" s="280">
        <f>IF(AC6&gt;0,Standing!$C$75*0.33,0)</f>
        <v>0</v>
      </c>
      <c r="AG6" s="281">
        <f>IF(AC6&gt;0,Standing!$C$75*0.2,0)</f>
        <v>0</v>
      </c>
      <c r="AH6" s="282">
        <f>IF(AC6&gt;0,Standing!$C$75*0.6,0)</f>
        <v>0</v>
      </c>
      <c r="AI6" s="283">
        <f>IF(AC6&gt;0,Standing!$C$75*0.2,0)</f>
        <v>0</v>
      </c>
      <c r="AJ6" s="284">
        <f>IF(AC6&gt;0,Standing!$C$75*0.25,0)</f>
        <v>0</v>
      </c>
      <c r="AK6" s="281">
        <f>IF(AC6&gt;0,Standing!$C$81*0.5,0)</f>
        <v>0</v>
      </c>
      <c r="AL6" s="282">
        <f t="shared" si="1"/>
        <v>0</v>
      </c>
      <c r="AM6" s="283">
        <f>IF(AC6&gt;0,Standing!$C$81*0.66,0)</f>
        <v>0</v>
      </c>
      <c r="AN6" s="284">
        <f>IF(AC6&gt;0,Standing!$C$81*0.45,0)</f>
        <v>0</v>
      </c>
      <c r="AO6" s="280">
        <f>IF(AC6&gt;0,Standing!$C$81*0.3,0)</f>
        <v>0</v>
      </c>
      <c r="AP6" s="281">
        <f>IF(AC6&gt;0,Standing!$C$81*0.9,0)</f>
        <v>0</v>
      </c>
      <c r="AQ6" s="282">
        <f>IF(AC6&gt;0,Standing!$C$85,0)</f>
        <v>0</v>
      </c>
      <c r="AR6" s="283">
        <f>IF(AC6&gt;0,Standing!$C$85*0.8,0)</f>
        <v>0</v>
      </c>
      <c r="AS6" s="284">
        <f>IF(AC6&gt;0,Standing!$C$85*0.66,0)</f>
        <v>0</v>
      </c>
      <c r="AT6" s="280">
        <f>IF(AC6&gt;0,Standing!$C$85*0.5,0)</f>
        <v>0</v>
      </c>
      <c r="AU6" s="281">
        <f>IF(AC6&gt;0,Standing!$C$75*0.25,0)</f>
        <v>0</v>
      </c>
      <c r="AV6" s="282">
        <f>IF(AC6&gt;0,Standing!$C$75*0.12,0)</f>
        <v>0</v>
      </c>
      <c r="AW6" s="283">
        <f>IF(AC6&gt;0,Standing!$C$26*0.4,0)</f>
        <v>0</v>
      </c>
      <c r="AX6" s="284">
        <f>IF(AC6&gt;0,Standing!$C$26*0.4,0)</f>
        <v>0</v>
      </c>
      <c r="AY6" s="280">
        <f>IF(AC6&gt;0,Standing!$C$26*0.2,0)</f>
        <v>0</v>
      </c>
      <c r="AZ6" s="281">
        <f>IF(AC6&gt;0,Standing!$C$26*0.4,0)</f>
        <v>0</v>
      </c>
      <c r="BA6" s="282">
        <f>IF(AC6&gt;0,Standing!$C$26*0.2,0)</f>
        <v>0</v>
      </c>
      <c r="BB6" s="283">
        <f>IF(AC6&gt;0,Standing!$C$26*0.2,0)</f>
        <v>0</v>
      </c>
      <c r="BC6" s="284">
        <f>IF(AC6&gt;0,Standing!$C$32*0.4,0)</f>
        <v>0</v>
      </c>
      <c r="BD6" s="280">
        <f>IF(AC6&gt;0,Standing!$C$32*0.6,0)</f>
        <v>0</v>
      </c>
      <c r="BE6" s="281">
        <f>IF(AC6&gt;0,Standing!$C$32*0.4,0)</f>
        <v>0</v>
      </c>
      <c r="BF6" s="282">
        <f>IF(AC6&gt;0,Standing!$C$32*0.5,0)</f>
        <v>0</v>
      </c>
      <c r="BG6" s="283">
        <f>IF(AC6&gt;0,Standing!$C$32*0.5,0)</f>
        <v>0</v>
      </c>
      <c r="BH6" s="284">
        <f>IF(AC6&gt;0,Standing!$C$32*0.4,0)</f>
        <v>0</v>
      </c>
      <c r="BI6" s="280">
        <f>IF(AC6&gt;0,Standing!$C$26*0.75,0)</f>
        <v>0</v>
      </c>
      <c r="BJ6" s="281">
        <f>IF(AC6&gt;0,Standing!$C$26*0.5,0)</f>
        <v>0</v>
      </c>
      <c r="BK6" s="282">
        <f>IF(AC6&gt;0,Standing!$C$26*0.6,0)</f>
        <v>0</v>
      </c>
      <c r="BL6" s="283">
        <f>IF(AC6&gt;0,Standing!$C$32,0)</f>
        <v>0</v>
      </c>
      <c r="BM6" s="281">
        <f>IF(AC6&gt;0,Standing!$C$32*0.85,0)</f>
        <v>0</v>
      </c>
      <c r="BN6" s="284">
        <f t="shared" si="2"/>
        <v>0</v>
      </c>
      <c r="BO6" s="282">
        <f>IF(AC6&gt;0,Standing!$C$32*0.45,0)</f>
        <v>0</v>
      </c>
      <c r="BP6" s="280">
        <f>IF(AC6&gt;0,Standing!$C$32*0.66,0)</f>
        <v>0</v>
      </c>
      <c r="BQ6" s="281">
        <f>IF(AC6&gt;0,Standing!$C$32*0.5,0)</f>
        <v>0</v>
      </c>
      <c r="BR6" s="282">
        <f>IF(AC6&gt;0,Standing!$C$32*0.4,0)</f>
        <v>0</v>
      </c>
      <c r="BS6" s="283">
        <f>IF(AC6&gt;0,Standing!$C$32*0.33,0)</f>
        <v>0</v>
      </c>
      <c r="BT6" s="284">
        <f>IF(AC6&gt;0,Standing!$C$32*0.3,0)</f>
        <v>0</v>
      </c>
      <c r="BU6" s="280">
        <f>IF(AC6&gt;0,Standing!$C$36,0)</f>
        <v>0</v>
      </c>
      <c r="BV6" s="281">
        <f>IF(AC6&gt;0,Standing!$C$36*0.66,0)</f>
        <v>0</v>
      </c>
      <c r="BW6" s="282">
        <f>IF(AC6&gt;0,Standing!$C$126*0.75,0)</f>
        <v>0</v>
      </c>
      <c r="BX6" s="283">
        <f>IF(AC6&gt;0,Standing!$C$126*0.33,0)</f>
        <v>0</v>
      </c>
      <c r="BY6" s="284">
        <f>IF(AC6&gt;0,Standing!$C$126*0.66,0)</f>
        <v>0</v>
      </c>
      <c r="BZ6" s="280">
        <f>IF(AC6&gt;0,Standing!$C$126*0.5,0)</f>
        <v>0</v>
      </c>
      <c r="CA6" s="281">
        <f>IF(AC6&gt;0,Standing!$C$132,0)</f>
        <v>0</v>
      </c>
      <c r="CB6" s="282">
        <f>IF(AC6&gt;0,Standing!$C$132*0.75,0)</f>
        <v>0</v>
      </c>
      <c r="CC6" s="283">
        <f>IF(AC6&gt;0,Standing!$C$132,0)</f>
        <v>0</v>
      </c>
      <c r="CD6" s="284">
        <f>IF(AC6&gt;0,Standing!$C$132*0.75,0)</f>
        <v>0</v>
      </c>
      <c r="CE6" s="280">
        <f>IF(AC6&gt;0,Standing!$C$132*0.5,0)</f>
        <v>0</v>
      </c>
      <c r="CF6" s="281">
        <f>IF(AC6&gt;0,Standing!$C$132*0.75,0)</f>
        <v>0</v>
      </c>
      <c r="CG6" s="282">
        <f>IF(AC6&gt;0,Standing!$C$132*0.66,0)</f>
        <v>0</v>
      </c>
      <c r="CH6" s="283">
        <f>IF(AC6&gt;0,Standing!$C$132*0.75,0)</f>
        <v>0</v>
      </c>
      <c r="CI6" s="284">
        <f>IF(AC6&gt;0,Standing!$C$132*0.66,0)</f>
        <v>0</v>
      </c>
      <c r="CJ6" s="280">
        <f>IF(AC6&gt;0,Standing!$C$132*0.66,0)</f>
        <v>0</v>
      </c>
      <c r="CK6" s="281">
        <f>IF(AC6&gt;0,Standing!$C$126,0)</f>
        <v>0</v>
      </c>
      <c r="CL6" s="282">
        <f>IF(AC6&gt;0,Standing!$C$126,0)</f>
        <v>0</v>
      </c>
      <c r="CM6" s="283">
        <f>IF(AC6&gt;0,Standing!$C$126,0)</f>
        <v>0</v>
      </c>
      <c r="CN6" s="284">
        <f>IF(AC6&gt;0,Standing!$C$126*0.66,0)</f>
        <v>0</v>
      </c>
      <c r="CO6" s="280">
        <f>IF(AC6&gt;0,Standing!$C$126*0.5,0)</f>
        <v>0</v>
      </c>
      <c r="CP6" s="281">
        <f>IF(AC6&gt;0,Standing!$C$26*0.33,0)</f>
        <v>0</v>
      </c>
      <c r="CQ6" s="282">
        <f>IF(AC6&gt;0,Standing!$C$26*0.2,0)</f>
        <v>0</v>
      </c>
      <c r="CR6" s="283">
        <f>IF(AC6&gt;0,Standing!$C$26*0.25,0)</f>
        <v>0</v>
      </c>
      <c r="CS6" s="285">
        <f>IF(AC6&gt;0,Standing!$C$26*0.2,0)</f>
        <v>0</v>
      </c>
      <c r="CT6" s="286"/>
      <c r="CU6" s="286" t="s">
        <v>28</v>
      </c>
    </row>
    <row r="7">
      <c r="A7" s="51"/>
      <c r="B7" s="290" t="s">
        <v>462</v>
      </c>
      <c r="C7" s="268">
        <f>AX136</f>
        <v>1.178700787</v>
      </c>
      <c r="D7" s="218">
        <f t="shared" si="3"/>
        <v>0.3751912361</v>
      </c>
      <c r="E7" s="190">
        <f t="shared" si="4"/>
        <v>29.939</v>
      </c>
      <c r="F7" s="122">
        <f t="shared" si="5"/>
        <v>9.529857397</v>
      </c>
      <c r="G7" s="123">
        <f>C7/Introduction!$I$20</f>
        <v>0.0122781332</v>
      </c>
      <c r="H7" s="192">
        <f t="shared" si="6"/>
        <v>0.003908242043</v>
      </c>
      <c r="I7" s="124">
        <f>E7/Introduction!$I$20</f>
        <v>0.3118645833</v>
      </c>
      <c r="J7" s="125">
        <f t="shared" si="7"/>
        <v>0.09926934789</v>
      </c>
      <c r="K7" s="51"/>
      <c r="L7" s="51"/>
      <c r="M7" s="51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286"/>
      <c r="AB7" s="286" t="s">
        <v>29</v>
      </c>
      <c r="AC7" s="287">
        <f>IF('Ship Data Imperial'!E8&gt;0,'Ship Data Imperial'!E8,AD7)</f>
        <v>0</v>
      </c>
      <c r="AD7" s="287">
        <f>'Ship Data Metric'!E8*0.03280839895</f>
        <v>0</v>
      </c>
      <c r="AE7" s="284">
        <f>IF(AC7&gt;0,Standing!$C$75*0.65,0)</f>
        <v>0</v>
      </c>
      <c r="AF7" s="280">
        <f>IF(AC7&gt;0,Standing!$C$75*0.33,0)</f>
        <v>0</v>
      </c>
      <c r="AG7" s="281">
        <f>IF(AC7&gt;0,Standing!$C$75*0.2,0)</f>
        <v>0</v>
      </c>
      <c r="AH7" s="282">
        <f>IF(AC7&gt;0,Standing!$C$75*0.6,0)</f>
        <v>0</v>
      </c>
      <c r="AI7" s="283">
        <f>IF(AC7&gt;0,Standing!$C$75*0.2,0)</f>
        <v>0</v>
      </c>
      <c r="AJ7" s="284">
        <f>IF(AC7&gt;0,Standing!$C$75*0.25,0)</f>
        <v>0</v>
      </c>
      <c r="AK7" s="281">
        <f>IF(AC7&gt;0,Standing!$C$81*0.5,0)</f>
        <v>0</v>
      </c>
      <c r="AL7" s="282">
        <f t="shared" si="1"/>
        <v>0</v>
      </c>
      <c r="AM7" s="283">
        <f>IF(AC7&gt;0,Standing!$C$81*0.66,0)</f>
        <v>0</v>
      </c>
      <c r="AN7" s="284">
        <f>IF(AC7&gt;0,Standing!$C$81*0.45,0)</f>
        <v>0</v>
      </c>
      <c r="AO7" s="280">
        <f>IF(AC7&gt;0,Standing!$C$81*0.3,0)</f>
        <v>0</v>
      </c>
      <c r="AP7" s="281">
        <f>IF(AC7&gt;0,Standing!$C$81*0.9,0)</f>
        <v>0</v>
      </c>
      <c r="AQ7" s="282">
        <f>IF(AC7&gt;0,Standing!$C$85,0)</f>
        <v>0</v>
      </c>
      <c r="AR7" s="283">
        <f>IF(AC7&gt;0,Standing!$C$85*0.8,0)</f>
        <v>0</v>
      </c>
      <c r="AS7" s="284">
        <f>IF(AC7&gt;0,Standing!$C$85*0.66,0)</f>
        <v>0</v>
      </c>
      <c r="AT7" s="280">
        <f>IF(AC7&gt;0,Standing!$C$85*0.5,0)</f>
        <v>0</v>
      </c>
      <c r="AU7" s="281">
        <f>IF(AC7&gt;0,Standing!$C$75*0.25,0)</f>
        <v>0</v>
      </c>
      <c r="AV7" s="282">
        <f>IF(AC7&gt;0,Standing!$C$75*0.12,0)</f>
        <v>0</v>
      </c>
      <c r="AW7" s="283">
        <f>IF(AC7&gt;0,Standing!$C$26*0.4,0)</f>
        <v>0</v>
      </c>
      <c r="AX7" s="284">
        <f>IF(AC7&gt;0,Standing!$C$26*0.4,0)</f>
        <v>0</v>
      </c>
      <c r="AY7" s="280">
        <f>IF(AC7&gt;0,Standing!$C$26*0.2,0)</f>
        <v>0</v>
      </c>
      <c r="AZ7" s="281">
        <f>IF(AC7&gt;0,Standing!$C$26*0.4,0)</f>
        <v>0</v>
      </c>
      <c r="BA7" s="282">
        <f>IF(AC7&gt;0,Standing!$C$26*0.2,0)</f>
        <v>0</v>
      </c>
      <c r="BB7" s="283">
        <f>IF(AC7&gt;0,Standing!$C$26*0.2,0)</f>
        <v>0</v>
      </c>
      <c r="BC7" s="284">
        <f>IF(AC7&gt;0,Standing!$C$32*0.4,0)</f>
        <v>0</v>
      </c>
      <c r="BD7" s="280">
        <f>IF(AC7&gt;0,Standing!$C$32*0.6,0)</f>
        <v>0</v>
      </c>
      <c r="BE7" s="281">
        <f>IF(AC7&gt;0,Standing!$C$32*0.4,0)</f>
        <v>0</v>
      </c>
      <c r="BF7" s="282">
        <f>IF(AC7&gt;0,Standing!$C$32*0.5,0)</f>
        <v>0</v>
      </c>
      <c r="BG7" s="283">
        <f>IF(AC7&gt;0,Standing!$C$32*0.5,0)</f>
        <v>0</v>
      </c>
      <c r="BH7" s="284">
        <f>IF(AC7&gt;0,Standing!$C$32*0.4,0)</f>
        <v>0</v>
      </c>
      <c r="BI7" s="280">
        <f>IF(AC7&gt;0,Standing!$C$26*0.75,0)</f>
        <v>0</v>
      </c>
      <c r="BJ7" s="281">
        <f>IF(AC7&gt;0,Standing!$C$26*0.5,0)</f>
        <v>0</v>
      </c>
      <c r="BK7" s="282">
        <f>IF(AC7&gt;0,Standing!$C$26*0.6,0)</f>
        <v>0</v>
      </c>
      <c r="BL7" s="283">
        <f>IF(AC7&gt;0,Standing!$C$32,0)</f>
        <v>0</v>
      </c>
      <c r="BM7" s="281">
        <f>IF(AC7&gt;0,Standing!$C$32*0.85,0)</f>
        <v>0</v>
      </c>
      <c r="BN7" s="284">
        <f t="shared" si="2"/>
        <v>0</v>
      </c>
      <c r="BO7" s="282">
        <f>IF(AC7&gt;0,Standing!$C$32*0.45,0)</f>
        <v>0</v>
      </c>
      <c r="BP7" s="280">
        <f>IF(AC7&gt;0,Standing!$C$32*0.66,0)</f>
        <v>0</v>
      </c>
      <c r="BQ7" s="281">
        <f>IF(AC7&gt;0,Standing!$C$32*0.5,0)</f>
        <v>0</v>
      </c>
      <c r="BR7" s="282">
        <f>IF(AC7&gt;0,Standing!$C$32*0.4,0)</f>
        <v>0</v>
      </c>
      <c r="BS7" s="283">
        <f>IF(AC7&gt;0,Standing!$C$32*0.375,0)</f>
        <v>0</v>
      </c>
      <c r="BT7" s="284">
        <f>IF(AC7&gt;0,Standing!$C$32*0.3,0)</f>
        <v>0</v>
      </c>
      <c r="BU7" s="280">
        <f>IF(AC7&gt;0,Standing!$C$36,0)</f>
        <v>0</v>
      </c>
      <c r="BV7" s="281">
        <f>IF(AC7&gt;0,Standing!$C$36*0.66,0)</f>
        <v>0</v>
      </c>
      <c r="BW7" s="282">
        <f>IF(AC7&gt;0,Standing!$C$126*0.75,0)</f>
        <v>0</v>
      </c>
      <c r="BX7" s="283">
        <f>IF(AC7&gt;0,Standing!$C$126*0.33,0)</f>
        <v>0</v>
      </c>
      <c r="BY7" s="284">
        <f>IF(AC7&gt;0,Standing!$C$126*0.66,0)</f>
        <v>0</v>
      </c>
      <c r="BZ7" s="280">
        <f>IF(AC7&gt;0,Standing!$C$126*0.5,0)</f>
        <v>0</v>
      </c>
      <c r="CA7" s="281">
        <f>IF(AC7&gt;0,Standing!$C$132,0)</f>
        <v>0</v>
      </c>
      <c r="CB7" s="282">
        <f>IF(AC7&gt;0,Standing!$C$132*0.75,0)</f>
        <v>0</v>
      </c>
      <c r="CC7" s="283">
        <f>IF(AC7&gt;0,Standing!$C$132,0)</f>
        <v>0</v>
      </c>
      <c r="CD7" s="284">
        <f>IF(AC7&gt;0,Standing!$C$132*0.75,0)</f>
        <v>0</v>
      </c>
      <c r="CE7" s="280">
        <f>IF(AC7&gt;0,Standing!$C$132*0.5,0)</f>
        <v>0</v>
      </c>
      <c r="CF7" s="281">
        <f>IF(AC7&gt;0,Standing!$C$132*0.75,0)</f>
        <v>0</v>
      </c>
      <c r="CG7" s="282">
        <f>IF(AC7&gt;0,Standing!$C$132*0.66,0)</f>
        <v>0</v>
      </c>
      <c r="CH7" s="283">
        <f>IF(AC7&gt;0,Standing!$C$132*0.75,0)</f>
        <v>0</v>
      </c>
      <c r="CI7" s="284">
        <f>IF(AC7&gt;0,Standing!$C$132*0.66,0)</f>
        <v>0</v>
      </c>
      <c r="CJ7" s="280">
        <f>IF(AC7&gt;0,Standing!$C$132*0.66,0)</f>
        <v>0</v>
      </c>
      <c r="CK7" s="281">
        <f>IF(AC7&gt;0,Standing!$C$126,0)</f>
        <v>0</v>
      </c>
      <c r="CL7" s="282">
        <f>IF(AC7&gt;0,Standing!$C$126,0)</f>
        <v>0</v>
      </c>
      <c r="CM7" s="283">
        <f>IF(AC7&gt;0,Standing!$C$126,0)</f>
        <v>0</v>
      </c>
      <c r="CN7" s="284">
        <f>IF(AC7&gt;0,Standing!$C$126*0.66,0)</f>
        <v>0</v>
      </c>
      <c r="CO7" s="280">
        <f>IF(AC7&gt;0,Standing!$C$126*0.5,0)</f>
        <v>0</v>
      </c>
      <c r="CP7" s="281">
        <f>IF(AC7&gt;0,Standing!$C$26*0.33,0)</f>
        <v>0</v>
      </c>
      <c r="CQ7" s="282">
        <f>IF(AC7&gt;0,Standing!$C$26*0.2,0)</f>
        <v>0</v>
      </c>
      <c r="CR7" s="283">
        <f>IF(AC7&gt;0,Standing!$C$26*0.25,0)</f>
        <v>0</v>
      </c>
      <c r="CS7" s="285">
        <f>IF(AC7&gt;0,Standing!$C$26*0.2,0)</f>
        <v>0</v>
      </c>
      <c r="CT7" s="286"/>
      <c r="CU7" s="286" t="s">
        <v>29</v>
      </c>
    </row>
    <row r="8">
      <c r="A8" s="51"/>
      <c r="B8" s="291" t="s">
        <v>463</v>
      </c>
      <c r="C8" s="189">
        <f>Standing!$C$26*0.23</f>
        <v>1.355505906</v>
      </c>
      <c r="D8" s="218">
        <f t="shared" si="3"/>
        <v>0.4314699215</v>
      </c>
      <c r="E8" s="190">
        <f t="shared" si="4"/>
        <v>34.42985</v>
      </c>
      <c r="F8" s="122">
        <f t="shared" si="5"/>
        <v>10.95933601</v>
      </c>
      <c r="G8" s="123">
        <f>C8/Introduction!$I$20</f>
        <v>0.01411985318</v>
      </c>
      <c r="H8" s="192">
        <f t="shared" si="6"/>
        <v>0.004494478349</v>
      </c>
      <c r="I8" s="124">
        <f>E8/Introduction!$I$20</f>
        <v>0.3586442708</v>
      </c>
      <c r="J8" s="125">
        <f t="shared" si="7"/>
        <v>0.1141597501</v>
      </c>
      <c r="K8" s="51"/>
      <c r="L8" s="51"/>
      <c r="M8" s="51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286" t="s">
        <v>30</v>
      </c>
      <c r="AB8" s="286" t="s">
        <v>24</v>
      </c>
      <c r="AC8" s="287">
        <f>IF('Ship Data Imperial'!E9&gt;0,'Ship Data Imperial'!E9,AD8)</f>
        <v>0</v>
      </c>
      <c r="AD8" s="287">
        <f>'Ship Data Metric'!E9*0.03280839895</f>
        <v>0</v>
      </c>
      <c r="AE8" s="284">
        <f>IF(AC8&gt;0,Standing!$C$75*0.45,0)</f>
        <v>0</v>
      </c>
      <c r="AF8" s="280">
        <f>IF(AC8&gt;0,Standing!$C$75*0.25,0)</f>
        <v>0</v>
      </c>
      <c r="AG8" s="281">
        <f>IF(AC8&gt;0,Standing!$C$75*0.165,0)</f>
        <v>0</v>
      </c>
      <c r="AH8" s="282">
        <f>IF(AC8&gt;0,Standing!$C$75*0.6,0)</f>
        <v>0</v>
      </c>
      <c r="AI8" s="283">
        <f>IF(AC8&gt;0,Standing!$C$75*0.16,0)</f>
        <v>0</v>
      </c>
      <c r="AJ8" s="284">
        <f>IF(AC8&gt;0,Standing!$C$75*0.2,0)</f>
        <v>0</v>
      </c>
      <c r="AK8" s="281">
        <f>IF(AC8&gt;0,Standing!$C$81*0.5,0)</f>
        <v>0</v>
      </c>
      <c r="AL8" s="282">
        <f t="shared" si="1"/>
        <v>0</v>
      </c>
      <c r="AM8" s="283">
        <f>IF(AC8&gt;0,Standing!$C$81*0.5,0)</f>
        <v>0</v>
      </c>
      <c r="AN8" s="284">
        <f>IF(AC8&gt;0,Standing!$C$81*0.45,0)</f>
        <v>0</v>
      </c>
      <c r="AO8" s="280">
        <f>IF(AC8&gt;0,Standing!$C$81*0.3,0)</f>
        <v>0</v>
      </c>
      <c r="AP8" s="281">
        <f>IF(AC8&gt;0,Standing!$C$81,0)</f>
        <v>0</v>
      </c>
      <c r="AQ8" s="282">
        <f>IF(AC8&gt;0,Standing!$C$85,0)</f>
        <v>0</v>
      </c>
      <c r="AR8" s="283">
        <f>IF(AC8&gt;0,Standing!$C$85*0.8,0)</f>
        <v>0</v>
      </c>
      <c r="AS8" s="284">
        <f>IF(AC8&gt;0,Standing!$C$85*0.66,0)</f>
        <v>0</v>
      </c>
      <c r="AT8" s="280">
        <f>IF(AC8&gt;0,Standing!$C$85*0.5,0)</f>
        <v>0</v>
      </c>
      <c r="AU8" s="281">
        <f>IF(AC8&gt;0,Standing!$C$75*0.2,0)</f>
        <v>0</v>
      </c>
      <c r="AV8" s="282">
        <f>IF(AC8&gt;0,Standing!$C$75*0.12,0)</f>
        <v>0</v>
      </c>
      <c r="AW8" s="283">
        <f>IF(AC8&gt;0,Standing!$C$26*0.4,0)</f>
        <v>0</v>
      </c>
      <c r="AX8" s="284">
        <f>IF(AC8&gt;0,Standing!$C$26*0.4,0)</f>
        <v>0</v>
      </c>
      <c r="AY8" s="280">
        <f>IF(AC8&gt;0,Standing!$C$26*0.2,0)</f>
        <v>0</v>
      </c>
      <c r="AZ8" s="281">
        <f>IF(AC8&gt;0,Standing!$C$26*0.4,0)</f>
        <v>0</v>
      </c>
      <c r="BA8" s="282">
        <f>IF(AC8&gt;0,Standing!$C$26*0.2,0)</f>
        <v>0</v>
      </c>
      <c r="BB8" s="283">
        <f>IF(AC8&gt;0,Standing!$C$26*0.2,0)</f>
        <v>0</v>
      </c>
      <c r="BC8" s="284">
        <f>IF(AC8&gt;0,Standing!$C$32*0.4,0)</f>
        <v>0</v>
      </c>
      <c r="BD8" s="280">
        <f>IF(AC8&gt;0,Standing!$C$32*0.6,0)</f>
        <v>0</v>
      </c>
      <c r="BE8" s="281">
        <f>IF(AC8&gt;0,Standing!$C$32*0.4,0)</f>
        <v>0</v>
      </c>
      <c r="BF8" s="282">
        <f>IF(AC8&gt;0,Standing!$C$32*0.5,0)</f>
        <v>0</v>
      </c>
      <c r="BG8" s="283">
        <f>IF(AC8&gt;0,Standing!$C$32*0.5,0)</f>
        <v>0</v>
      </c>
      <c r="BH8" s="284">
        <f>IF(AC8&gt;0,Standing!$C$32*0.33,0)</f>
        <v>0</v>
      </c>
      <c r="BI8" s="280">
        <f>IF(AC8&gt;0,Standing!$C$26*0.5,0)</f>
        <v>0</v>
      </c>
      <c r="BJ8" s="281">
        <f>IF(AC8&gt;0,Standing!$C$26*0.5,0)</f>
        <v>0</v>
      </c>
      <c r="BK8" s="282">
        <f>IF(AC8&gt;0,Standing!$C$26*0.6,0)</f>
        <v>0</v>
      </c>
      <c r="BL8" s="283">
        <f>IF(AC8&gt;0,Standing!$C$32,0)</f>
        <v>0</v>
      </c>
      <c r="BM8" s="281">
        <f>IF(AC8&gt;0,Standing!$C$32*0.9,0)</f>
        <v>0</v>
      </c>
      <c r="BN8" s="284">
        <f t="shared" si="2"/>
        <v>0</v>
      </c>
      <c r="BO8" s="282">
        <f>IF(AC8&gt;0,Standing!$C$32*0.5,0)</f>
        <v>0</v>
      </c>
      <c r="BP8" s="280">
        <f>IF(AC8&gt;0,Standing!$C$32*0.5,0)</f>
        <v>0</v>
      </c>
      <c r="BQ8" s="281">
        <f>IF(AC8&gt;0,Standing!$C$32*0.5,0)</f>
        <v>0</v>
      </c>
      <c r="BR8" s="282">
        <f>IF(AC8&gt;0,Standing!$C$32*0.4,0)</f>
        <v>0</v>
      </c>
      <c r="BS8" s="283">
        <f>IF(AC8&gt;0,Standing!$C$32*0.33,0)</f>
        <v>0</v>
      </c>
      <c r="BT8" s="284">
        <f>IF(AC8&gt;0,Standing!$C$32*0.3,0)</f>
        <v>0</v>
      </c>
      <c r="BU8" s="280">
        <f>IF(AC8&gt;0,Standing!$C$36,0)</f>
        <v>0</v>
      </c>
      <c r="BV8" s="281">
        <f>IF(AC8&gt;0,Standing!$C$36*0.66,0)</f>
        <v>0</v>
      </c>
      <c r="BW8" s="282">
        <f>IF(AC8&gt;0,Standing!$C$126*0.75,0)</f>
        <v>0</v>
      </c>
      <c r="BX8" s="283">
        <f>IF(AC8&gt;0,Standing!$C$126*0.66,0)</f>
        <v>0</v>
      </c>
      <c r="BY8" s="284">
        <f>IF(AC8&gt;0,Standing!$C$126*0.66,0)</f>
        <v>0</v>
      </c>
      <c r="BZ8" s="280">
        <f>IF(AC8&gt;0,Standing!$C$126*0.5,0)</f>
        <v>0</v>
      </c>
      <c r="CA8" s="281">
        <f>IF(AC8&gt;0,Standing!$C$132,0)</f>
        <v>0</v>
      </c>
      <c r="CB8" s="282">
        <f>IF(AC8&gt;0,Standing!$C$132*0.75,0)</f>
        <v>0</v>
      </c>
      <c r="CC8" s="283">
        <f>IF(AC8&gt;0,Standing!$C$132,0)</f>
        <v>0</v>
      </c>
      <c r="CD8" s="284">
        <f>IF(AC8&gt;0,Standing!$C$132*0.75,0)</f>
        <v>0</v>
      </c>
      <c r="CE8" s="280">
        <f>IF(AC8&gt;0,Standing!$C$132*0.4,0)</f>
        <v>0</v>
      </c>
      <c r="CF8" s="281">
        <f>IF(AC8&gt;0,Standing!$C$132*0.75,0)</f>
        <v>0</v>
      </c>
      <c r="CG8" s="282">
        <f>IF(AC8&gt;0,Standing!$C$132*0.66,0)</f>
        <v>0</v>
      </c>
      <c r="CH8" s="283">
        <f>IF(AC8&gt;0,Standing!$C$132*0.75,0)</f>
        <v>0</v>
      </c>
      <c r="CI8" s="284">
        <f>IF(AC8&gt;0,Standing!$C$132*0.66,0)</f>
        <v>0</v>
      </c>
      <c r="CJ8" s="280">
        <f>IF(AC8&gt;0,Standing!$C$132*0.66,0)</f>
        <v>0</v>
      </c>
      <c r="CK8" s="281">
        <f>IF(AC8&gt;0,Standing!$C$126,0)</f>
        <v>0</v>
      </c>
      <c r="CL8" s="282">
        <f>IF(AC8&gt;0,Standing!$C$126,0)</f>
        <v>0</v>
      </c>
      <c r="CM8" s="283">
        <f>IF(AC8&gt;0,Standing!$C$126,0)</f>
        <v>0</v>
      </c>
      <c r="CN8" s="284">
        <f>IF(AC8&gt;0,Standing!$C$126*0.66,0)</f>
        <v>0</v>
      </c>
      <c r="CO8" s="280">
        <f>IF(AC8&gt;0,Standing!$C$126*0.5,0)</f>
        <v>0</v>
      </c>
      <c r="CP8" s="281">
        <f>IF(AC8&gt;0,Standing!$C$26*0.25,0)</f>
        <v>0</v>
      </c>
      <c r="CQ8" s="282">
        <f>IF(AC8&gt;0,Standing!$C$26*0.165,0)</f>
        <v>0</v>
      </c>
      <c r="CR8" s="283">
        <f>IF(AC8&gt;0,Standing!$C$26*0.2,0)</f>
        <v>0</v>
      </c>
      <c r="CS8" s="285">
        <f>IF(AC8&gt;0,Standing!$C$26*0.16,0)</f>
        <v>0</v>
      </c>
      <c r="CT8" s="286" t="s">
        <v>30</v>
      </c>
      <c r="CU8" s="286" t="s">
        <v>24</v>
      </c>
    </row>
    <row r="9">
      <c r="A9" s="51"/>
      <c r="B9" s="291" t="s">
        <v>464</v>
      </c>
      <c r="C9" s="217">
        <f>Standing!$C$26*0.23</f>
        <v>1.355505906</v>
      </c>
      <c r="D9" s="218">
        <f t="shared" si="3"/>
        <v>0.4314699215</v>
      </c>
      <c r="E9" s="190">
        <f t="shared" si="4"/>
        <v>34.42985</v>
      </c>
      <c r="F9" s="122">
        <f t="shared" si="5"/>
        <v>10.95933601</v>
      </c>
      <c r="G9" s="123">
        <f>C9/Introduction!$I$20</f>
        <v>0.01411985318</v>
      </c>
      <c r="H9" s="192">
        <f t="shared" si="6"/>
        <v>0.004494478349</v>
      </c>
      <c r="I9" s="124">
        <f>E9/Introduction!$I$20</f>
        <v>0.3586442708</v>
      </c>
      <c r="J9" s="125">
        <f t="shared" si="7"/>
        <v>0.1141597501</v>
      </c>
      <c r="K9" s="51"/>
      <c r="L9" s="51"/>
      <c r="M9" s="51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286"/>
      <c r="AB9" s="286" t="s">
        <v>25</v>
      </c>
      <c r="AC9" s="287">
        <f>IF('Ship Data Imperial'!E10&gt;0,'Ship Data Imperial'!E10,AD9)</f>
        <v>0</v>
      </c>
      <c r="AD9" s="287">
        <f>'Ship Data Metric'!E10*0.03280839895</f>
        <v>0</v>
      </c>
      <c r="AE9" s="284">
        <f>IF(AC9&gt;0,Standing!$C$75*0.45,0)</f>
        <v>0</v>
      </c>
      <c r="AF9" s="280">
        <f>IF(AC9&gt;0,Standing!$C$75*0.25,0)</f>
        <v>0</v>
      </c>
      <c r="AG9" s="281">
        <f>IF(AC9&gt;0,Standing!$C$75*0.165,0)</f>
        <v>0</v>
      </c>
      <c r="AH9" s="282">
        <f>IF(AC9&gt;0,Standing!$C$75*0.6,0)</f>
        <v>0</v>
      </c>
      <c r="AI9" s="283">
        <f>IF(AC9&gt;0,Standing!$C$75*0.16,0)</f>
        <v>0</v>
      </c>
      <c r="AJ9" s="284">
        <f>IF(AC9&gt;0,Standing!$C$75*0.2,0)</f>
        <v>0</v>
      </c>
      <c r="AK9" s="281">
        <f>IF(AC9&gt;0,Standing!$C$81*0.5,0)</f>
        <v>0</v>
      </c>
      <c r="AL9" s="282">
        <f t="shared" si="1"/>
        <v>0</v>
      </c>
      <c r="AM9" s="283">
        <f>IF(AC9&gt;0,Standing!$C$81*0.5,0)</f>
        <v>0</v>
      </c>
      <c r="AN9" s="284">
        <f>IF(AC9&gt;0,Standing!$C$81*0.45,0)</f>
        <v>0</v>
      </c>
      <c r="AO9" s="280">
        <f>IF(AC9&gt;0,Standing!$C$81*0.3,0)</f>
        <v>0</v>
      </c>
      <c r="AP9" s="281">
        <f>IF(AC9&gt;0,Standing!$C$81,0)</f>
        <v>0</v>
      </c>
      <c r="AQ9" s="282">
        <f>IF(AC9&gt;0,Standing!$C$85,0)</f>
        <v>0</v>
      </c>
      <c r="AR9" s="283">
        <f>IF(AC9&gt;0,Standing!$C$85*0.8,0)</f>
        <v>0</v>
      </c>
      <c r="AS9" s="284">
        <f>IF(AC9&gt;0,Standing!$C$85*0.66,0)</f>
        <v>0</v>
      </c>
      <c r="AT9" s="280">
        <f>IF(AC9&gt;0,Standing!$C$85*0.5,0)</f>
        <v>0</v>
      </c>
      <c r="AU9" s="281">
        <f>IF(AC9&gt;0,Standing!$C$75*0.2,0)</f>
        <v>0</v>
      </c>
      <c r="AV9" s="282">
        <f>IF(AC9&gt;0,Standing!$C$75*0.12,0)</f>
        <v>0</v>
      </c>
      <c r="AW9" s="283">
        <f>IF(AC9&gt;0,Standing!$C$26*0.4,0)</f>
        <v>0</v>
      </c>
      <c r="AX9" s="284">
        <f>IF(AC9&gt;0,Standing!$C$26*0.4,0)</f>
        <v>0</v>
      </c>
      <c r="AY9" s="280">
        <f>IF(AC9&gt;0,Standing!$C$26*0.2,0)</f>
        <v>0</v>
      </c>
      <c r="AZ9" s="281">
        <f>IF(AC9&gt;0,Standing!$C$26*0.4,0)</f>
        <v>0</v>
      </c>
      <c r="BA9" s="282">
        <f>IF(AC9&gt;0,Standing!$C$26*0.2,0)</f>
        <v>0</v>
      </c>
      <c r="BB9" s="283">
        <f>IF(AC9&gt;0,Standing!$C$26*0.2,0)</f>
        <v>0</v>
      </c>
      <c r="BC9" s="284">
        <f>IF(AC9&gt;0,Standing!$C$32*0.4,0)</f>
        <v>0</v>
      </c>
      <c r="BD9" s="280">
        <f>IF(AC9&gt;0,Standing!$C$32*0.6,0)</f>
        <v>0</v>
      </c>
      <c r="BE9" s="281">
        <f>IF(AC9&gt;0,Standing!$C$32*0.4,0)</f>
        <v>0</v>
      </c>
      <c r="BF9" s="282">
        <f>IF(AC9&gt;0,Standing!$C$32*0.5,0)</f>
        <v>0</v>
      </c>
      <c r="BG9" s="283">
        <f>IF(AC9&gt;0,Standing!$C$32*0.5,0)</f>
        <v>0</v>
      </c>
      <c r="BH9" s="284">
        <f>IF(AC9&gt;0,Standing!$C$32*0.33,0)</f>
        <v>0</v>
      </c>
      <c r="BI9" s="280">
        <f>IF(AC9&gt;0,Standing!$C$26*0.5,0)</f>
        <v>0</v>
      </c>
      <c r="BJ9" s="281">
        <f>IF(AC9&gt;0,Standing!$C$26*0.5,0)</f>
        <v>0</v>
      </c>
      <c r="BK9" s="282">
        <f>IF(AC9&gt;0,Standing!$C$26*0.6,0)</f>
        <v>0</v>
      </c>
      <c r="BL9" s="283">
        <f>IF(AC9&gt;0,Standing!$C$32,0)</f>
        <v>0</v>
      </c>
      <c r="BM9" s="281">
        <f>IF(AC9&gt;0,Standing!$C$32*0.9,0)</f>
        <v>0</v>
      </c>
      <c r="BN9" s="284">
        <f t="shared" si="2"/>
        <v>0</v>
      </c>
      <c r="BO9" s="282">
        <f>IF(AC9&gt;0,Standing!$C$32*0.5,0)</f>
        <v>0</v>
      </c>
      <c r="BP9" s="280">
        <f>IF(AC9&gt;0,Standing!$C$32*0.5,0)</f>
        <v>0</v>
      </c>
      <c r="BQ9" s="281">
        <f>IF(AC9&gt;0,Standing!$C$32*0.5,0)</f>
        <v>0</v>
      </c>
      <c r="BR9" s="282">
        <f>IF(AC9&gt;0,Standing!$C$32*0.4,0)</f>
        <v>0</v>
      </c>
      <c r="BS9" s="283">
        <f>IF(AC9&gt;0,Standing!$C$32*0.33,0)</f>
        <v>0</v>
      </c>
      <c r="BT9" s="284">
        <f>IF(AC9&gt;0,Standing!$C$32*0.3,0)</f>
        <v>0</v>
      </c>
      <c r="BU9" s="280">
        <f>IF(AC9&gt;0,Standing!$C$36,0)</f>
        <v>0</v>
      </c>
      <c r="BV9" s="281">
        <f>IF(AC9&gt;0,Standing!$C$36*0.66,0)</f>
        <v>0</v>
      </c>
      <c r="BW9" s="282">
        <f>IF(AC9&gt;0,Standing!$C$126*0.75,0)</f>
        <v>0</v>
      </c>
      <c r="BX9" s="283">
        <f>IF(AC9&gt;0,Standing!$C$126*0.66,0)</f>
        <v>0</v>
      </c>
      <c r="BY9" s="284">
        <f>IF(AC9&gt;0,Standing!$C$126*0.66,0)</f>
        <v>0</v>
      </c>
      <c r="BZ9" s="280">
        <f>IF(AC9&gt;0,Standing!$C$126*0.5,0)</f>
        <v>0</v>
      </c>
      <c r="CA9" s="281">
        <f>IF(AC9&gt;0,Standing!$C$132,0)</f>
        <v>0</v>
      </c>
      <c r="CB9" s="282">
        <f>IF(AC9&gt;0,Standing!$C$132*0.75,0)</f>
        <v>0</v>
      </c>
      <c r="CC9" s="283">
        <f>IF(AC9&gt;0,Standing!$C$132,0)</f>
        <v>0</v>
      </c>
      <c r="CD9" s="284">
        <f>IF(AC9&gt;0,Standing!$C$132*0.75,0)</f>
        <v>0</v>
      </c>
      <c r="CE9" s="280">
        <f>IF(AC9&gt;0,Standing!$C$132*0.4,0)</f>
        <v>0</v>
      </c>
      <c r="CF9" s="281">
        <f>IF(AC9&gt;0,Standing!$C$132*0.75,0)</f>
        <v>0</v>
      </c>
      <c r="CG9" s="282">
        <f>IF(AC9&gt;0,Standing!$C$132*0.66,0)</f>
        <v>0</v>
      </c>
      <c r="CH9" s="283">
        <f>IF(AC9&gt;0,Standing!$C$132*0.75,0)</f>
        <v>0</v>
      </c>
      <c r="CI9" s="284">
        <f>IF(AC9&gt;0,Standing!$C$132*0.66,0)</f>
        <v>0</v>
      </c>
      <c r="CJ9" s="280">
        <f>IF(AC9&gt;0,Standing!$C$132*0.66,0)</f>
        <v>0</v>
      </c>
      <c r="CK9" s="281">
        <f>IF(AC9&gt;0,Standing!$C$126,0)</f>
        <v>0</v>
      </c>
      <c r="CL9" s="282">
        <f>IF(AC9&gt;0,Standing!$C$126,0)</f>
        <v>0</v>
      </c>
      <c r="CM9" s="283">
        <f>IF(AC9&gt;0,Standing!$C$126,0)</f>
        <v>0</v>
      </c>
      <c r="CN9" s="284">
        <f>IF(AC9&gt;0,Standing!$C$126*0.66,0)</f>
        <v>0</v>
      </c>
      <c r="CO9" s="280">
        <f>IF(AC9&gt;0,Standing!$C$126*0.5,0)</f>
        <v>0</v>
      </c>
      <c r="CP9" s="281">
        <f>IF(AC9&gt;0,Standing!$C$26*0.25,0)</f>
        <v>0</v>
      </c>
      <c r="CQ9" s="282">
        <f>IF(AC9&gt;0,Standing!$C$26*0.165,0)</f>
        <v>0</v>
      </c>
      <c r="CR9" s="283">
        <f>IF(AC9&gt;0,Standing!$C$26*0.2,0)</f>
        <v>0</v>
      </c>
      <c r="CS9" s="285">
        <f>IF(AC9&gt;0,Standing!$C$26*0.16,0)</f>
        <v>0</v>
      </c>
      <c r="CT9" s="286"/>
      <c r="CU9" s="286" t="s">
        <v>25</v>
      </c>
    </row>
    <row r="10">
      <c r="A10" s="51"/>
      <c r="B10" s="291" t="s">
        <v>465</v>
      </c>
      <c r="C10" s="197">
        <f>AY136</f>
        <v>1.473375984</v>
      </c>
      <c r="D10" s="218">
        <f t="shared" si="3"/>
        <v>0.4689890452</v>
      </c>
      <c r="E10" s="190">
        <f t="shared" si="4"/>
        <v>37.42375</v>
      </c>
      <c r="F10" s="122">
        <f t="shared" si="5"/>
        <v>11.91232175</v>
      </c>
      <c r="G10" s="123">
        <f>C10/Introduction!$I$20</f>
        <v>0.0153476665</v>
      </c>
      <c r="H10" s="192">
        <f t="shared" si="6"/>
        <v>0.004885302554</v>
      </c>
      <c r="I10" s="124">
        <f>E10/Introduction!$I$20</f>
        <v>0.3898307292</v>
      </c>
      <c r="J10" s="125">
        <f t="shared" si="7"/>
        <v>0.1240866849</v>
      </c>
      <c r="K10" s="51"/>
      <c r="L10" s="51"/>
      <c r="M10" s="51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286"/>
      <c r="AB10" s="286" t="s">
        <v>26</v>
      </c>
      <c r="AC10" s="287">
        <f>IF('Ship Data Imperial'!E11&gt;0,'Ship Data Imperial'!E11,AD10)</f>
        <v>0</v>
      </c>
      <c r="AD10" s="287">
        <f>'Ship Data Metric'!E11*0.03280839895</f>
        <v>0</v>
      </c>
      <c r="AE10" s="284">
        <f>IF(AC10&gt;0,Standing!$C$75*0.45,0)</f>
        <v>0</v>
      </c>
      <c r="AF10" s="280">
        <f>IF(AC10&gt;0,Standing!$C$75*0.25,0)</f>
        <v>0</v>
      </c>
      <c r="AG10" s="281">
        <f>IF(AC10&gt;0,Standing!$C$75*0.2,0)</f>
        <v>0</v>
      </c>
      <c r="AH10" s="282">
        <f>IF(AC10&gt;0,Standing!$C$75*0.6,0)</f>
        <v>0</v>
      </c>
      <c r="AI10" s="283">
        <f>IF(AC10&gt;0,Standing!$C$75*0.2,0)</f>
        <v>0</v>
      </c>
      <c r="AJ10" s="284">
        <f>IF(AC10&gt;0,Standing!$C$75*0.25,0)</f>
        <v>0</v>
      </c>
      <c r="AK10" s="281">
        <f>IF(AC10&gt;0,Standing!$C$81*0.5,0)</f>
        <v>0</v>
      </c>
      <c r="AL10" s="282">
        <f t="shared" si="1"/>
        <v>0</v>
      </c>
      <c r="AM10" s="283">
        <f>IF(AC10&gt;0,Standing!$C$81*0.66,0)</f>
        <v>0</v>
      </c>
      <c r="AN10" s="284">
        <f>IF(AC10&gt;0,Standing!$C$81*0.45,0)</f>
        <v>0</v>
      </c>
      <c r="AO10" s="280">
        <f>IF(AC10&gt;0,Standing!$C$81*0.3,0)</f>
        <v>0</v>
      </c>
      <c r="AP10" s="281">
        <f>IF(AC10&gt;0,Standing!$C$81*0.9,0)</f>
        <v>0</v>
      </c>
      <c r="AQ10" s="282">
        <f>IF(AC10&gt;0,Standing!$C$85,0)</f>
        <v>0</v>
      </c>
      <c r="AR10" s="283">
        <f>IF(AC10&gt;0,Standing!$C$85*0.8,0)</f>
        <v>0</v>
      </c>
      <c r="AS10" s="284">
        <f>IF(AC10&gt;0,Standing!$C$85*0.66,0)</f>
        <v>0</v>
      </c>
      <c r="AT10" s="280">
        <f>IF(AC10&gt;0,Standing!$C$85*0.5,0)</f>
        <v>0</v>
      </c>
      <c r="AU10" s="281">
        <f>IF(AC10&gt;0,Standing!$C$75*0.2,0)</f>
        <v>0</v>
      </c>
      <c r="AV10" s="282">
        <f>IF(AC10&gt;0,Standing!$C$75*0.12,0)</f>
        <v>0</v>
      </c>
      <c r="AW10" s="283">
        <f>IF(AC10&gt;0,Standing!$C$26*0.4,0)</f>
        <v>0</v>
      </c>
      <c r="AX10" s="284">
        <f>IF(AC10&gt;0,Standing!$C$26*0.4,0)</f>
        <v>0</v>
      </c>
      <c r="AY10" s="280">
        <f>IF(AC10&gt;0,Standing!$C$26*0.2,0)</f>
        <v>0</v>
      </c>
      <c r="AZ10" s="281">
        <f>IF(AC10&gt;0,Standing!$C$26*0.4,0)</f>
        <v>0</v>
      </c>
      <c r="BA10" s="282">
        <f>IF(AC10&gt;0,Standing!$C$26*0.2,0)</f>
        <v>0</v>
      </c>
      <c r="BB10" s="283">
        <f>IF(AC10&gt;0,Standing!$C$26*0.2,0)</f>
        <v>0</v>
      </c>
      <c r="BC10" s="284">
        <f>IF(AC10&gt;0,Standing!$C$32*0.4,0)</f>
        <v>0</v>
      </c>
      <c r="BD10" s="280">
        <f>IF(AC10&gt;0,Standing!$C$32*0.6,0)</f>
        <v>0</v>
      </c>
      <c r="BE10" s="281">
        <f>IF(AC10&gt;0,Standing!$C$32*0.4,0)</f>
        <v>0</v>
      </c>
      <c r="BF10" s="282">
        <f>IF(AC10&gt;0,Standing!$C$32*0.5,0)</f>
        <v>0</v>
      </c>
      <c r="BG10" s="283">
        <f>IF(AC10&gt;0,Standing!$C$32*0.5,0)</f>
        <v>0</v>
      </c>
      <c r="BH10" s="284">
        <f>IF(AC10&gt;0,Standing!$C$32*0.4,0)</f>
        <v>0</v>
      </c>
      <c r="BI10" s="280">
        <f>IF(AC10&gt;0,Standing!$C$26*0.5,0)</f>
        <v>0</v>
      </c>
      <c r="BJ10" s="281">
        <f>IF(AC10&gt;0,Standing!$C$26*0.5,0)</f>
        <v>0</v>
      </c>
      <c r="BK10" s="282">
        <f>IF(AC10&gt;0,Standing!$C$26*0.6,0)</f>
        <v>0</v>
      </c>
      <c r="BL10" s="283">
        <f>IF(AC10&gt;0,Standing!$C$32,0)</f>
        <v>0</v>
      </c>
      <c r="BM10" s="281">
        <f>IF(AC10&gt;0,Standing!$C$32*0.85,0)</f>
        <v>0</v>
      </c>
      <c r="BN10" s="284">
        <f t="shared" si="2"/>
        <v>0</v>
      </c>
      <c r="BO10" s="282">
        <f>IF(AC10&gt;0,Standing!$C$32*0.5,0)</f>
        <v>0</v>
      </c>
      <c r="BP10" s="280">
        <f>IF(AC10&gt;0,Standing!$C$32*0.5,0)</f>
        <v>0</v>
      </c>
      <c r="BQ10" s="281">
        <f>IF(AC10&gt;0,Standing!$C$32*0.5,0)</f>
        <v>0</v>
      </c>
      <c r="BR10" s="282">
        <f>IF(AC10&gt;0,Standing!$C$32*0.4,0)</f>
        <v>0</v>
      </c>
      <c r="BS10" s="283">
        <f>IF(AC10&gt;0,Standing!$C$32*0.33,0)</f>
        <v>0</v>
      </c>
      <c r="BT10" s="284">
        <f>IF(AC10&gt;0,Standing!$C$32*0.3,0)</f>
        <v>0</v>
      </c>
      <c r="BU10" s="280">
        <f>IF(AC10&gt;0,Standing!$C$36,0)</f>
        <v>0</v>
      </c>
      <c r="BV10" s="281">
        <f>IF(AC10&gt;0,Standing!$C$36*0.66,0)</f>
        <v>0</v>
      </c>
      <c r="BW10" s="282">
        <f>IF(AC10&gt;0,Standing!$C$126*0.75,0)</f>
        <v>0</v>
      </c>
      <c r="BX10" s="283">
        <f>IF(AC10&gt;0,Standing!$C$126*0.66,0)</f>
        <v>0</v>
      </c>
      <c r="BY10" s="284">
        <f>IF(AC10&gt;0,Standing!$C$126*0.66,0)</f>
        <v>0</v>
      </c>
      <c r="BZ10" s="280">
        <f>IF(AC10&gt;0,Standing!$C$126*0.5,0)</f>
        <v>0</v>
      </c>
      <c r="CA10" s="281">
        <f>IF(AC10&gt;0,Standing!$C$132,0)</f>
        <v>0</v>
      </c>
      <c r="CB10" s="282">
        <f>IF(AC10&gt;0,Standing!$C$132*0.75,0)</f>
        <v>0</v>
      </c>
      <c r="CC10" s="283">
        <f>IF(AC10&gt;0,Standing!$C$132,0)</f>
        <v>0</v>
      </c>
      <c r="CD10" s="284">
        <f>IF(AC10&gt;0,Standing!$C$132*0.75,0)</f>
        <v>0</v>
      </c>
      <c r="CE10" s="280">
        <f>IF(AC10&gt;0,Standing!$C$132*0.4,0)</f>
        <v>0</v>
      </c>
      <c r="CF10" s="281">
        <f>IF(AC10&gt;0,Standing!$C$132*0.75,0)</f>
        <v>0</v>
      </c>
      <c r="CG10" s="282">
        <f>IF(AC10&gt;0,Standing!$C$132*0.66,0)</f>
        <v>0</v>
      </c>
      <c r="CH10" s="283">
        <f>IF(AC10&gt;0,Standing!$C$132*0.75,0)</f>
        <v>0</v>
      </c>
      <c r="CI10" s="284">
        <f>IF(AC10&gt;0,Standing!$C$132*0.66,0)</f>
        <v>0</v>
      </c>
      <c r="CJ10" s="280">
        <f>IF(AC10&gt;0,Standing!$C$132*0.66,0)</f>
        <v>0</v>
      </c>
      <c r="CK10" s="281">
        <f>IF(AC10&gt;0,Standing!$C$126,0)</f>
        <v>0</v>
      </c>
      <c r="CL10" s="282">
        <f>IF(AC10&gt;0,Standing!$C$126,0)</f>
        <v>0</v>
      </c>
      <c r="CM10" s="283">
        <f>IF(AC10&gt;0,Standing!$C$126,0)</f>
        <v>0</v>
      </c>
      <c r="CN10" s="284">
        <f>IF(AC10&gt;0,Standing!$C$126*0.66,0)</f>
        <v>0</v>
      </c>
      <c r="CO10" s="280">
        <f>IF(AC10&gt;0,Standing!$C$126*0.5,0)</f>
        <v>0</v>
      </c>
      <c r="CP10" s="281">
        <f>IF(AC10&gt;0,Standing!$C$26*0.25,0)</f>
        <v>0</v>
      </c>
      <c r="CQ10" s="282">
        <f>IF(AC10&gt;0,Standing!$C$26*0.2,0)</f>
        <v>0</v>
      </c>
      <c r="CR10" s="283">
        <f>IF(AC10&gt;0,Standing!$C$26*0.25,0)</f>
        <v>0</v>
      </c>
      <c r="CS10" s="285">
        <f>IF(AC10&gt;0,Standing!$C$26*0.2,0)</f>
        <v>0</v>
      </c>
      <c r="CT10" s="286"/>
      <c r="CU10" s="286" t="s">
        <v>26</v>
      </c>
    </row>
    <row r="11">
      <c r="A11" s="51"/>
      <c r="B11" s="291" t="s">
        <v>466</v>
      </c>
      <c r="C11" s="189">
        <f>Standing!$C$26*0.3</f>
        <v>1.768051181</v>
      </c>
      <c r="D11" s="218">
        <f t="shared" si="3"/>
        <v>0.5627868542</v>
      </c>
      <c r="E11" s="190">
        <f t="shared" si="4"/>
        <v>44.9085</v>
      </c>
      <c r="F11" s="122">
        <f t="shared" si="5"/>
        <v>14.2947861</v>
      </c>
      <c r="G11" s="123">
        <f>C11/Introduction!$I$20</f>
        <v>0.0184171998</v>
      </c>
      <c r="H11" s="192">
        <f t="shared" si="6"/>
        <v>0.005862363064</v>
      </c>
      <c r="I11" s="124">
        <f>E11/Introduction!$I$20</f>
        <v>0.467796875</v>
      </c>
      <c r="J11" s="125">
        <f t="shared" si="7"/>
        <v>0.1489040218</v>
      </c>
      <c r="K11" s="51"/>
      <c r="L11" s="51"/>
      <c r="M11" s="51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286"/>
      <c r="AB11" s="286" t="s">
        <v>27</v>
      </c>
      <c r="AC11" s="287">
        <f>IF('Ship Data Imperial'!E12&gt;0,'Ship Data Imperial'!E12,AD11)</f>
        <v>0</v>
      </c>
      <c r="AD11" s="287">
        <f>'Ship Data Metric'!E12*0.03280839895</f>
        <v>0</v>
      </c>
      <c r="AE11" s="284">
        <f>IF(AC11&gt;0,Standing!$C$75*0.45,0)</f>
        <v>0</v>
      </c>
      <c r="AF11" s="280">
        <f>IF(AC11&gt;0,Standing!$C$75*0.33,0)</f>
        <v>0</v>
      </c>
      <c r="AG11" s="281">
        <f>IF(AC11&gt;0,Standing!$C$75*0.2,0)</f>
        <v>0</v>
      </c>
      <c r="AH11" s="282">
        <f>IF(AC11&gt;0,Standing!$C$75*0.6,0)</f>
        <v>0</v>
      </c>
      <c r="AI11" s="283">
        <f>IF(AC11&gt;0,Standing!$C$75*0.2,0)</f>
        <v>0</v>
      </c>
      <c r="AJ11" s="284">
        <f>IF(AC11&gt;0,Standing!$C$75*0.25,0)</f>
        <v>0</v>
      </c>
      <c r="AK11" s="281">
        <f>IF(AC11&gt;0,Standing!$C$81*0.5,0)</f>
        <v>0</v>
      </c>
      <c r="AL11" s="282">
        <f t="shared" si="1"/>
        <v>0</v>
      </c>
      <c r="AM11" s="283">
        <f>IF(AC11&gt;0,Standing!$C$81*0.66,0)</f>
        <v>0</v>
      </c>
      <c r="AN11" s="284">
        <f>IF(AC11&gt;0,Standing!$C$81*0.45,0)</f>
        <v>0</v>
      </c>
      <c r="AO11" s="280">
        <f>IF(AC11&gt;0,Standing!$C$81*0.3,0)</f>
        <v>0</v>
      </c>
      <c r="AP11" s="281">
        <f>IF(AC11&gt;0,Standing!$C$81*0.9,0)</f>
        <v>0</v>
      </c>
      <c r="AQ11" s="282">
        <f>IF(AC11&gt;0,Standing!$C$85,0)</f>
        <v>0</v>
      </c>
      <c r="AR11" s="283">
        <f>IF(AC11&gt;0,Standing!$C$85*0.8,0)</f>
        <v>0</v>
      </c>
      <c r="AS11" s="284">
        <f>IF(AC11&gt;0,Standing!$C$85*0.66,0)</f>
        <v>0</v>
      </c>
      <c r="AT11" s="280">
        <f>IF(AC11&gt;0,Standing!$C$85*0.5,0)</f>
        <v>0</v>
      </c>
      <c r="AU11" s="281">
        <f>IF(AC11&gt;0,Standing!$C$75*0.25,0)</f>
        <v>0</v>
      </c>
      <c r="AV11" s="282">
        <f>IF(AC11&gt;0,Standing!$C$75*0.12,0)</f>
        <v>0</v>
      </c>
      <c r="AW11" s="283">
        <f>IF(AC11&gt;0,Standing!$C$26*0.4,0)</f>
        <v>0</v>
      </c>
      <c r="AX11" s="284">
        <f>IF(AC11&gt;0,Standing!$C$26*0.4,0)</f>
        <v>0</v>
      </c>
      <c r="AY11" s="280">
        <f>IF(AC11&gt;0,Standing!$C$26*0.2,0)</f>
        <v>0</v>
      </c>
      <c r="AZ11" s="281">
        <f>IF(AC11&gt;0,Standing!$C$26*0.4,0)</f>
        <v>0</v>
      </c>
      <c r="BA11" s="282">
        <f>IF(AC11&gt;0,Standing!$C$26*0.2,0)</f>
        <v>0</v>
      </c>
      <c r="BB11" s="283">
        <f>IF(AC11&gt;0,Standing!$C$26*0.2,0)</f>
        <v>0</v>
      </c>
      <c r="BC11" s="284">
        <f>IF(AC11&gt;0,Standing!$C$32*0.4,0)</f>
        <v>0</v>
      </c>
      <c r="BD11" s="280">
        <f>IF(AC11&gt;0,Standing!$C$32*0.6,0)</f>
        <v>0</v>
      </c>
      <c r="BE11" s="281">
        <f>IF(AC11&gt;0,Standing!$C$32*0.4,0)</f>
        <v>0</v>
      </c>
      <c r="BF11" s="282">
        <f>IF(AC11&gt;0,Standing!$C$32*0.5,0)</f>
        <v>0</v>
      </c>
      <c r="BG11" s="283">
        <f>IF(AC11&gt;0,Standing!$C$32*0.5,0)</f>
        <v>0</v>
      </c>
      <c r="BH11" s="284">
        <f>IF(AC11&gt;0,Standing!$C$32*0.4,0)</f>
        <v>0</v>
      </c>
      <c r="BI11" s="280">
        <f>IF(AC11&gt;0,Standing!$C$26*0.5,0)</f>
        <v>0</v>
      </c>
      <c r="BJ11" s="281">
        <f>IF(AC11&gt;0,Standing!$C$26*0.5,0)</f>
        <v>0</v>
      </c>
      <c r="BK11" s="282">
        <f>IF(AC11&gt;0,Standing!$C$26*0.6,0)</f>
        <v>0</v>
      </c>
      <c r="BL11" s="283">
        <f>IF(AC11&gt;0,Standing!$C$32,0)</f>
        <v>0</v>
      </c>
      <c r="BM11" s="281">
        <f>IF(AC11&gt;0,Standing!$C$32*0.85,0)</f>
        <v>0</v>
      </c>
      <c r="BN11" s="284">
        <f t="shared" si="2"/>
        <v>0</v>
      </c>
      <c r="BO11" s="282">
        <f>IF(AC11&gt;0,Standing!$C$32*0.45,0)</f>
        <v>0</v>
      </c>
      <c r="BP11" s="280">
        <f>IF(AC11&gt;0,Standing!$C$32*0.66,0)</f>
        <v>0</v>
      </c>
      <c r="BQ11" s="281">
        <f>IF(AC11&gt;0,Standing!$C$32*0.5,0)</f>
        <v>0</v>
      </c>
      <c r="BR11" s="282">
        <f>IF(AC11&gt;0,Standing!$C$32*0.4,0)</f>
        <v>0</v>
      </c>
      <c r="BS11" s="283">
        <f>IF(AC11&gt;0,Standing!$C$32*0.33,0)</f>
        <v>0</v>
      </c>
      <c r="BT11" s="284">
        <f>IF(AC11&gt;0,Standing!$C$32*0.3,0)</f>
        <v>0</v>
      </c>
      <c r="BU11" s="280">
        <f>IF(AC11&gt;0,Standing!$C$36,0)</f>
        <v>0</v>
      </c>
      <c r="BV11" s="281">
        <f>IF(AC11&gt;0,Standing!$C$36*0.66,0)</f>
        <v>0</v>
      </c>
      <c r="BW11" s="282">
        <f>IF(AC11&gt;0,Standing!$C$126*0.75,0)</f>
        <v>0</v>
      </c>
      <c r="BX11" s="283">
        <f>IF(AC11&gt;0,Standing!$C$126*0.33,0)</f>
        <v>0</v>
      </c>
      <c r="BY11" s="284">
        <f>IF(AC11&gt;0,Standing!$C$126*0.66,0)</f>
        <v>0</v>
      </c>
      <c r="BZ11" s="280">
        <f>IF(AC11&gt;0,Standing!$C$126*0.5,0)</f>
        <v>0</v>
      </c>
      <c r="CA11" s="281">
        <f>IF(AC11&gt;0,Standing!$C$132,0)</f>
        <v>0</v>
      </c>
      <c r="CB11" s="282">
        <f>IF(AC11&gt;0,Standing!$C$132*0.75,0)</f>
        <v>0</v>
      </c>
      <c r="CC11" s="283">
        <f>IF(AC11&gt;0,Standing!$C$132,0)</f>
        <v>0</v>
      </c>
      <c r="CD11" s="284">
        <f>IF(AC11&gt;0,Standing!$C$132*0.75,0)</f>
        <v>0</v>
      </c>
      <c r="CE11" s="280">
        <f>IF(AC11&gt;0,Standing!$C$132*0.5,0)</f>
        <v>0</v>
      </c>
      <c r="CF11" s="281">
        <f>IF(AC11&gt;0,Standing!$C$132*0.75,0)</f>
        <v>0</v>
      </c>
      <c r="CG11" s="282">
        <f>IF(AC11&gt;0,Standing!$C$132*0.66,0)</f>
        <v>0</v>
      </c>
      <c r="CH11" s="283">
        <f>IF(AC11&gt;0,Standing!$C$132*0.75,0)</f>
        <v>0</v>
      </c>
      <c r="CI11" s="284">
        <f>IF(AC11&gt;0,Standing!$C$132*0.66,0)</f>
        <v>0</v>
      </c>
      <c r="CJ11" s="280">
        <f>IF(AC11&gt;0,Standing!$C$132*0.66,0)</f>
        <v>0</v>
      </c>
      <c r="CK11" s="281">
        <f>IF(AC11&gt;0,Standing!$C$126,0)</f>
        <v>0</v>
      </c>
      <c r="CL11" s="282">
        <f>IF(AC11&gt;0,Standing!$C$126,0)</f>
        <v>0</v>
      </c>
      <c r="CM11" s="283">
        <f>IF(AC11&gt;0,Standing!$C$126,0)</f>
        <v>0</v>
      </c>
      <c r="CN11" s="284">
        <f>IF(AC11&gt;0,Standing!$C$126*0.66,0)</f>
        <v>0</v>
      </c>
      <c r="CO11" s="280">
        <f>IF(AC11&gt;0,Standing!$C$126*0.5,0)</f>
        <v>0</v>
      </c>
      <c r="CP11" s="281">
        <f>IF(AC11&gt;0,Standing!$C$26*0.33,0)</f>
        <v>0</v>
      </c>
      <c r="CQ11" s="282">
        <f>IF(AC11&gt;0,Standing!$C$26*0.2,0)</f>
        <v>0</v>
      </c>
      <c r="CR11" s="283">
        <f>IF(AC11&gt;0,Standing!$C$26*0.25,0)</f>
        <v>0</v>
      </c>
      <c r="CS11" s="285">
        <f>IF(AC11&gt;0,Standing!$C$26*0.2,0)</f>
        <v>0</v>
      </c>
      <c r="CT11" s="286"/>
      <c r="CU11" s="286" t="s">
        <v>27</v>
      </c>
    </row>
    <row r="12">
      <c r="A12" s="51"/>
      <c r="B12" s="291" t="s">
        <v>467</v>
      </c>
      <c r="C12" s="189">
        <f>Standing!$C$26*0.25</f>
        <v>1.473375984</v>
      </c>
      <c r="D12" s="218">
        <f t="shared" si="3"/>
        <v>0.4689890452</v>
      </c>
      <c r="E12" s="190">
        <f t="shared" si="4"/>
        <v>37.42375</v>
      </c>
      <c r="F12" s="122">
        <f t="shared" si="5"/>
        <v>11.91232175</v>
      </c>
      <c r="G12" s="123">
        <f>C12/Introduction!$I$20</f>
        <v>0.0153476665</v>
      </c>
      <c r="H12" s="192">
        <f t="shared" si="6"/>
        <v>0.004885302554</v>
      </c>
      <c r="I12" s="124">
        <f>E12/Introduction!$I$20</f>
        <v>0.3898307292</v>
      </c>
      <c r="J12" s="125">
        <f t="shared" si="7"/>
        <v>0.1240866849</v>
      </c>
      <c r="K12" s="51"/>
      <c r="L12" s="51"/>
      <c r="M12" s="51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286"/>
      <c r="AB12" s="286" t="s">
        <v>28</v>
      </c>
      <c r="AC12" s="287">
        <f>IF('Ship Data Imperial'!E13&gt;0,'Ship Data Imperial'!E13,AD12)</f>
        <v>0</v>
      </c>
      <c r="AD12" s="287">
        <f>'Ship Data Metric'!E13*0.03280839895</f>
        <v>0</v>
      </c>
      <c r="AE12" s="284">
        <f>IF(AC12&gt;0,Standing!$C$75*0.65,0)</f>
        <v>0</v>
      </c>
      <c r="AF12" s="280">
        <f>IF(AC12&gt;0,Standing!$C$75*0.33,0)</f>
        <v>0</v>
      </c>
      <c r="AG12" s="281">
        <f>IF(AC12&gt;0,Standing!$C$75*0.2,0)</f>
        <v>0</v>
      </c>
      <c r="AH12" s="282">
        <f>IF(AC12&gt;0,Standing!$C$75*0.6,0)</f>
        <v>0</v>
      </c>
      <c r="AI12" s="283">
        <f>IF(AC12&gt;0,Standing!$C$75*0.2,0)</f>
        <v>0</v>
      </c>
      <c r="AJ12" s="284">
        <f>IF(AC12&gt;0,Standing!$C$75*0.25,0)</f>
        <v>0</v>
      </c>
      <c r="AK12" s="281">
        <f>IF(AC12&gt;0,Standing!$C$81*0.5,0)</f>
        <v>0</v>
      </c>
      <c r="AL12" s="282">
        <f t="shared" si="1"/>
        <v>0</v>
      </c>
      <c r="AM12" s="283">
        <f>IF(AC12&gt;0,Standing!$C$81*0.66,0)</f>
        <v>0</v>
      </c>
      <c r="AN12" s="284">
        <f>IF(AC12&gt;0,Standing!$C$81*0.45,0)</f>
        <v>0</v>
      </c>
      <c r="AO12" s="280">
        <f>IF(AC12&gt;0,Standing!$C$81*0.3,0)</f>
        <v>0</v>
      </c>
      <c r="AP12" s="281">
        <f>IF(AC12&gt;0,Standing!$C$81*0.9,0)</f>
        <v>0</v>
      </c>
      <c r="AQ12" s="282">
        <f>IF(AC12&gt;0,Standing!$C$85,0)</f>
        <v>0</v>
      </c>
      <c r="AR12" s="283">
        <f>IF(AC12&gt;0,Standing!$C$85*0.8,0)</f>
        <v>0</v>
      </c>
      <c r="AS12" s="284">
        <f>IF(AC12&gt;0,Standing!$C$85*0.66,0)</f>
        <v>0</v>
      </c>
      <c r="AT12" s="280">
        <f>IF(AC12&gt;0,Standing!$C$85*0.5,0)</f>
        <v>0</v>
      </c>
      <c r="AU12" s="281">
        <f>IF(AC12&gt;0,Standing!$C$75*0.25,0)</f>
        <v>0</v>
      </c>
      <c r="AV12" s="282">
        <f>IF(AC12&gt;0,Standing!$C$75*0.12,0)</f>
        <v>0</v>
      </c>
      <c r="AW12" s="283">
        <f>IF(AC12&gt;0,Standing!$C$26*0.4,0)</f>
        <v>0</v>
      </c>
      <c r="AX12" s="284">
        <f>IF(AC12&gt;0,Standing!$C$26*0.4,0)</f>
        <v>0</v>
      </c>
      <c r="AY12" s="280">
        <f>IF(AC12&gt;0,Standing!$C$26*0.2,0)</f>
        <v>0</v>
      </c>
      <c r="AZ12" s="281">
        <f>IF(AC12&gt;0,Standing!$C$26*0.4,0)</f>
        <v>0</v>
      </c>
      <c r="BA12" s="282">
        <f>IF(AC12&gt;0,Standing!$C$26*0.2,0)</f>
        <v>0</v>
      </c>
      <c r="BB12" s="283">
        <f>IF(AC12&gt;0,Standing!$C$26*0.2,0)</f>
        <v>0</v>
      </c>
      <c r="BC12" s="284">
        <f>IF(AC12&gt;0,Standing!$C$32*0.4,0)</f>
        <v>0</v>
      </c>
      <c r="BD12" s="280">
        <f>IF(AC12&gt;0,Standing!$C$32*0.6,0)</f>
        <v>0</v>
      </c>
      <c r="BE12" s="281">
        <f>IF(AC12&gt;0,Standing!$C$32*0.4,0)</f>
        <v>0</v>
      </c>
      <c r="BF12" s="282">
        <f>IF(AC12&gt;0,Standing!$C$32*0.5,0)</f>
        <v>0</v>
      </c>
      <c r="BG12" s="283">
        <f>IF(AC12&gt;0,Standing!$C$32*0.5,0)</f>
        <v>0</v>
      </c>
      <c r="BH12" s="284">
        <f>IF(AC12&gt;0,Standing!$C$32*0.4,0)</f>
        <v>0</v>
      </c>
      <c r="BI12" s="280">
        <f>IF(AC12&gt;0,Standing!$C$26*0.75,0)</f>
        <v>0</v>
      </c>
      <c r="BJ12" s="281">
        <f>IF(AC12&gt;0,Standing!$C$26*0.5,0)</f>
        <v>0</v>
      </c>
      <c r="BK12" s="282">
        <f>IF(AC12&gt;0,Standing!$C$26*0.6,0)</f>
        <v>0</v>
      </c>
      <c r="BL12" s="283">
        <f>IF(AC12&gt;0,Standing!$C$32,0)</f>
        <v>0</v>
      </c>
      <c r="BM12" s="281">
        <f>IF(AC12&gt;0,Standing!$C$32*0.85,0)</f>
        <v>0</v>
      </c>
      <c r="BN12" s="284">
        <f t="shared" si="2"/>
        <v>0</v>
      </c>
      <c r="BO12" s="282">
        <f>IF(AC12&gt;0,Standing!$C$32*0.45,0)</f>
        <v>0</v>
      </c>
      <c r="BP12" s="280">
        <f>IF(AC12&gt;0,Standing!$C$32*0.66,0)</f>
        <v>0</v>
      </c>
      <c r="BQ12" s="281">
        <f>IF(AC12&gt;0,Standing!$C$32*0.5,0)</f>
        <v>0</v>
      </c>
      <c r="BR12" s="282">
        <f>IF(AC12&gt;0,Standing!$C$32*0.4,0)</f>
        <v>0</v>
      </c>
      <c r="BS12" s="283">
        <f>IF(AC12&gt;0,Standing!$C$32*0.33,0)</f>
        <v>0</v>
      </c>
      <c r="BT12" s="284">
        <f>IF(AC12&gt;0,Standing!$C$32*0.3,0)</f>
        <v>0</v>
      </c>
      <c r="BU12" s="280">
        <f>IF(AC12&gt;0,Standing!$C$36,0)</f>
        <v>0</v>
      </c>
      <c r="BV12" s="281">
        <f>IF(AC12&gt;0,Standing!$C$36*0.66,0)</f>
        <v>0</v>
      </c>
      <c r="BW12" s="282">
        <f>IF(AC12&gt;0,Standing!$C$126*0.75,0)</f>
        <v>0</v>
      </c>
      <c r="BX12" s="283">
        <f>IF(AC12&gt;0,Standing!$C$126*0.33,0)</f>
        <v>0</v>
      </c>
      <c r="BY12" s="284">
        <f>IF(AC12&gt;0,Standing!$C$126*0.66,0)</f>
        <v>0</v>
      </c>
      <c r="BZ12" s="280">
        <f>IF(AC12&gt;0,Standing!$C$126*0.5,0)</f>
        <v>0</v>
      </c>
      <c r="CA12" s="281">
        <f>IF(AC12&gt;0,Standing!$C$132,0)</f>
        <v>0</v>
      </c>
      <c r="CB12" s="282">
        <f>IF(AC12&gt;0,Standing!$C$132*0.75,0)</f>
        <v>0</v>
      </c>
      <c r="CC12" s="283">
        <f>IF(AC12&gt;0,Standing!$C$132,0)</f>
        <v>0</v>
      </c>
      <c r="CD12" s="284">
        <f>IF(AC12&gt;0,Standing!$C$132*0.75,0)</f>
        <v>0</v>
      </c>
      <c r="CE12" s="280">
        <f>IF(AC12&gt;0,Standing!$C$132*0.5,0)</f>
        <v>0</v>
      </c>
      <c r="CF12" s="281">
        <f>IF(AC12&gt;0,Standing!$C$132*0.75,0)</f>
        <v>0</v>
      </c>
      <c r="CG12" s="282">
        <f>IF(AC12&gt;0,Standing!$C$132*0.66,0)</f>
        <v>0</v>
      </c>
      <c r="CH12" s="283">
        <f>IF(AC12&gt;0,Standing!$C$132*0.75,0)</f>
        <v>0</v>
      </c>
      <c r="CI12" s="284">
        <f>IF(AC12&gt;0,Standing!$C$132*0.66,0)</f>
        <v>0</v>
      </c>
      <c r="CJ12" s="280">
        <f>IF(AC12&gt;0,Standing!$C$132*0.66,0)</f>
        <v>0</v>
      </c>
      <c r="CK12" s="281">
        <f>IF(AC12&gt;0,Standing!$C$126,0)</f>
        <v>0</v>
      </c>
      <c r="CL12" s="282">
        <f>IF(AC12&gt;0,Standing!$C$126,0)</f>
        <v>0</v>
      </c>
      <c r="CM12" s="283">
        <f>IF(AC12&gt;0,Standing!$C$126,0)</f>
        <v>0</v>
      </c>
      <c r="CN12" s="284">
        <f>IF(AC12&gt;0,Standing!$C$126*0.66,0)</f>
        <v>0</v>
      </c>
      <c r="CO12" s="280">
        <f>IF(AC12&gt;0,Standing!$C$126*0.5,0)</f>
        <v>0</v>
      </c>
      <c r="CP12" s="281">
        <f>IF(AC12&gt;0,Standing!$C$26*0.33,0)</f>
        <v>0</v>
      </c>
      <c r="CQ12" s="282">
        <f>IF(AC12&gt;0,Standing!$C$26*0.2,0)</f>
        <v>0</v>
      </c>
      <c r="CR12" s="283">
        <f>IF(AC12&gt;0,Standing!$C$26*0.25,0)</f>
        <v>0</v>
      </c>
      <c r="CS12" s="285">
        <f>IF(AC12&gt;0,Standing!$C$26*0.2,0)</f>
        <v>0</v>
      </c>
      <c r="CT12" s="286"/>
      <c r="CU12" s="286" t="s">
        <v>28</v>
      </c>
    </row>
    <row r="13">
      <c r="A13" s="51"/>
      <c r="B13" s="291" t="s">
        <v>468</v>
      </c>
      <c r="C13" s="217">
        <f>Standing!$C$26*0.2</f>
        <v>1.178700787</v>
      </c>
      <c r="D13" s="218">
        <f t="shared" si="3"/>
        <v>0.3751912361</v>
      </c>
      <c r="E13" s="190">
        <f t="shared" si="4"/>
        <v>29.939</v>
      </c>
      <c r="F13" s="122">
        <f t="shared" si="5"/>
        <v>9.529857397</v>
      </c>
      <c r="G13" s="123">
        <f>C13/Introduction!$I$20</f>
        <v>0.0122781332</v>
      </c>
      <c r="H13" s="192">
        <f t="shared" si="6"/>
        <v>0.003908242043</v>
      </c>
      <c r="I13" s="124">
        <f>E13/Introduction!$I$20</f>
        <v>0.3118645833</v>
      </c>
      <c r="J13" s="125">
        <f t="shared" si="7"/>
        <v>0.09926934789</v>
      </c>
      <c r="K13" s="51"/>
      <c r="L13" s="51"/>
      <c r="M13" s="51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286"/>
      <c r="AB13" s="286" t="s">
        <v>29</v>
      </c>
      <c r="AC13" s="287">
        <f>IF('Ship Data Imperial'!E14&gt;0,'Ship Data Imperial'!E14,AD13)</f>
        <v>0</v>
      </c>
      <c r="AD13" s="287">
        <f>'Ship Data Metric'!E14*0.03280839895</f>
        <v>0</v>
      </c>
      <c r="AE13" s="284">
        <f>IF(AC13&gt;0,Standing!$C$75*0.65,0)</f>
        <v>0</v>
      </c>
      <c r="AF13" s="280">
        <f>IF(AC13&gt;0,Standing!$C$75*0.25,0)</f>
        <v>0</v>
      </c>
      <c r="AG13" s="281">
        <f>IF(AC13&gt;0,Standing!$C$75*0.2,0)</f>
        <v>0</v>
      </c>
      <c r="AH13" s="282">
        <f>IF(AC13&gt;0,Standing!$C$75*0.6,0)</f>
        <v>0</v>
      </c>
      <c r="AI13" s="283">
        <f>IF(AC13&gt;0,Standing!$C$75*0.2,0)</f>
        <v>0</v>
      </c>
      <c r="AJ13" s="284">
        <f>IF(AC13&gt;0,Standing!$C$75*0.25,0)</f>
        <v>0</v>
      </c>
      <c r="AK13" s="281">
        <f>IF(AC13&gt;0,Standing!$C$81*0.5,0)</f>
        <v>0</v>
      </c>
      <c r="AL13" s="282">
        <f t="shared" si="1"/>
        <v>0</v>
      </c>
      <c r="AM13" s="283">
        <f>IF(AC13&gt;0,Standing!$C$81*0.66,0)</f>
        <v>0</v>
      </c>
      <c r="AN13" s="284">
        <f>IF(AC13&gt;0,Standing!$C$81*0.45,0)</f>
        <v>0</v>
      </c>
      <c r="AO13" s="280">
        <f>IF(AC13&gt;0,Standing!$C$81*0.3,0)</f>
        <v>0</v>
      </c>
      <c r="AP13" s="281">
        <f>IF(AC13&gt;0,Standing!$C$81*0.9,0)</f>
        <v>0</v>
      </c>
      <c r="AQ13" s="282">
        <f>IF(AC13&gt;0,Standing!$C$85,0)</f>
        <v>0</v>
      </c>
      <c r="AR13" s="283">
        <f>IF(AC13&gt;0,Standing!$C$85*0.8,0)</f>
        <v>0</v>
      </c>
      <c r="AS13" s="284">
        <f>IF(AC13&gt;0,Standing!$C$85*0.66,0)</f>
        <v>0</v>
      </c>
      <c r="AT13" s="280">
        <f>IF(AC13&gt;0,Standing!$C$85*0.5,0)</f>
        <v>0</v>
      </c>
      <c r="AU13" s="281">
        <f>IF(AC13&gt;0,Standing!$C$75*0.25,0)</f>
        <v>0</v>
      </c>
      <c r="AV13" s="282">
        <f>IF(AC13&gt;0,Standing!$C$75*0.12,0)</f>
        <v>0</v>
      </c>
      <c r="AW13" s="283">
        <f>IF(AC13&gt;0,Standing!$C$26*0.4,0)</f>
        <v>0</v>
      </c>
      <c r="AX13" s="284">
        <f>IF(AC13&gt;0,Standing!$C$26*0.4,0)</f>
        <v>0</v>
      </c>
      <c r="AY13" s="280">
        <f>IF(AC13&gt;0,Standing!$C$26*0.2,0)</f>
        <v>0</v>
      </c>
      <c r="AZ13" s="281">
        <f>IF(AC13&gt;0,Standing!$C$26*0.4,0)</f>
        <v>0</v>
      </c>
      <c r="BA13" s="282">
        <f>IF(AC13&gt;0,Standing!$C$26*0.2,0)</f>
        <v>0</v>
      </c>
      <c r="BB13" s="283">
        <f>IF(AC13&gt;0,Standing!$C$26*0.2,0)</f>
        <v>0</v>
      </c>
      <c r="BC13" s="284">
        <f>IF(AC13&gt;0,Standing!$C$32*0.4,0)</f>
        <v>0</v>
      </c>
      <c r="BD13" s="280">
        <f>IF(AC13&gt;0,Standing!$C$32*0.6,0)</f>
        <v>0</v>
      </c>
      <c r="BE13" s="281">
        <f>IF(AC13&gt;0,Standing!$C$32*0.4,0)</f>
        <v>0</v>
      </c>
      <c r="BF13" s="282">
        <f>IF(AC13&gt;0,Standing!$C$32*0.5,0)</f>
        <v>0</v>
      </c>
      <c r="BG13" s="283">
        <f>IF(AC13&gt;0,Standing!$C$32*0.5,0)</f>
        <v>0</v>
      </c>
      <c r="BH13" s="284">
        <f>IF(AC13&gt;0,Standing!$C$32*0.4,0)</f>
        <v>0</v>
      </c>
      <c r="BI13" s="280">
        <f>IF(AC13&gt;0,Standing!$C$26*0.75,0)</f>
        <v>0</v>
      </c>
      <c r="BJ13" s="281">
        <f>IF(AC13&gt;0,Standing!$C$26*0.5,0)</f>
        <v>0</v>
      </c>
      <c r="BK13" s="282">
        <f>IF(AC13&gt;0,Standing!$C$26*0.6,0)</f>
        <v>0</v>
      </c>
      <c r="BL13" s="283">
        <f>IF(AC13&gt;0,Standing!$C$32,0)</f>
        <v>0</v>
      </c>
      <c r="BM13" s="281">
        <f>IF(AC13&gt;0,Standing!$C$32*0.85,0)</f>
        <v>0</v>
      </c>
      <c r="BN13" s="284">
        <f t="shared" si="2"/>
        <v>0</v>
      </c>
      <c r="BO13" s="282">
        <f>IF(AC13&gt;0,Standing!$C$32*0.45,0)</f>
        <v>0</v>
      </c>
      <c r="BP13" s="280">
        <f>IF(AC13&gt;0,Standing!$C$32*0.66,0)</f>
        <v>0</v>
      </c>
      <c r="BQ13" s="281">
        <f>IF(AC13&gt;0,Standing!$C$32*0.5,0)</f>
        <v>0</v>
      </c>
      <c r="BR13" s="282">
        <f>IF(AC13&gt;0,Standing!$C$32*0.4,0)</f>
        <v>0</v>
      </c>
      <c r="BS13" s="283">
        <f>IF(AC13&gt;0,Standing!$C$32*0.375,0)</f>
        <v>0</v>
      </c>
      <c r="BT13" s="284">
        <f>IF(AC13&gt;0,Standing!$C$32*0.3,0)</f>
        <v>0</v>
      </c>
      <c r="BU13" s="280">
        <f>IF(AC13&gt;0,Standing!$C$36,0)</f>
        <v>0</v>
      </c>
      <c r="BV13" s="281">
        <f>IF(AC13&gt;0,Standing!$C$36*0.66,0)</f>
        <v>0</v>
      </c>
      <c r="BW13" s="282">
        <f>IF(AC13&gt;0,Standing!$C$126*0.75,0)</f>
        <v>0</v>
      </c>
      <c r="BX13" s="283">
        <f>IF(AC13&gt;0,Standing!$C$126*0.33,0)</f>
        <v>0</v>
      </c>
      <c r="BY13" s="284">
        <f>IF(AC13&gt;0,Standing!$C$126*0.66,0)</f>
        <v>0</v>
      </c>
      <c r="BZ13" s="280">
        <f>IF(AC13&gt;0,Standing!$C$126*0.5,0)</f>
        <v>0</v>
      </c>
      <c r="CA13" s="281">
        <f>IF(AC13&gt;0,Standing!$C$132,0)</f>
        <v>0</v>
      </c>
      <c r="CB13" s="282">
        <f>IF(AC13&gt;0,Standing!$C$132*0.75,0)</f>
        <v>0</v>
      </c>
      <c r="CC13" s="283">
        <f>IF(AC13&gt;0,Standing!$C$132,0)</f>
        <v>0</v>
      </c>
      <c r="CD13" s="284">
        <f>IF(AC13&gt;0,Standing!$C$132*0.75,0)</f>
        <v>0</v>
      </c>
      <c r="CE13" s="280">
        <f>IF(AC13&gt;0,Standing!$C$132*0.5,0)</f>
        <v>0</v>
      </c>
      <c r="CF13" s="281">
        <f>IF(AC13&gt;0,Standing!$C$132*0.75,0)</f>
        <v>0</v>
      </c>
      <c r="CG13" s="282">
        <f>IF(AC13&gt;0,Standing!$C$132*0.66,0)</f>
        <v>0</v>
      </c>
      <c r="CH13" s="283">
        <f>IF(AC13&gt;0,Standing!$C$132*0.75,0)</f>
        <v>0</v>
      </c>
      <c r="CI13" s="284">
        <f>IF(AC13&gt;0,Standing!$C$132*0.66,0)</f>
        <v>0</v>
      </c>
      <c r="CJ13" s="280">
        <f>IF(AC13&gt;0,Standing!$C$132*0.66,0)</f>
        <v>0</v>
      </c>
      <c r="CK13" s="281">
        <f>IF(AC13&gt;0,Standing!$C$126,0)</f>
        <v>0</v>
      </c>
      <c r="CL13" s="282">
        <f>IF(AC13&gt;0,Standing!$C$126,0)</f>
        <v>0</v>
      </c>
      <c r="CM13" s="283">
        <f>IF(AC13&gt;0,Standing!$C$126,0)</f>
        <v>0</v>
      </c>
      <c r="CN13" s="284">
        <f>IF(AC13&gt;0,Standing!$C$126*0.66,0)</f>
        <v>0</v>
      </c>
      <c r="CO13" s="280">
        <f>IF(AC13&gt;0,Standing!$C$126*0.5,0)</f>
        <v>0</v>
      </c>
      <c r="CP13" s="281">
        <f>IF(AC13&gt;0,Standing!$C$26*0.33,0)</f>
        <v>0</v>
      </c>
      <c r="CQ13" s="282">
        <f>IF(AC13&gt;0,Standing!$C$26*0.2,0)</f>
        <v>0</v>
      </c>
      <c r="CR13" s="283">
        <f>IF(AC13&gt;0,Standing!$C$26*0.25,0)</f>
        <v>0</v>
      </c>
      <c r="CS13" s="285">
        <f>IF(AC13&gt;0,Standing!$C$26*0.2,0)</f>
        <v>0</v>
      </c>
      <c r="CT13" s="286"/>
      <c r="CU13" s="286" t="s">
        <v>29</v>
      </c>
    </row>
    <row r="14">
      <c r="A14" s="51"/>
      <c r="B14" s="291" t="s">
        <v>469</v>
      </c>
      <c r="C14" s="197">
        <f>AZ136</f>
        <v>1.944856299</v>
      </c>
      <c r="D14" s="218">
        <f t="shared" si="3"/>
        <v>0.6190655396</v>
      </c>
      <c r="E14" s="190">
        <f t="shared" si="4"/>
        <v>49.39935</v>
      </c>
      <c r="F14" s="122">
        <f t="shared" si="5"/>
        <v>15.72426471</v>
      </c>
      <c r="G14" s="123">
        <f>C14/Introduction!$I$20</f>
        <v>0.02025891978</v>
      </c>
      <c r="H14" s="192">
        <f t="shared" si="6"/>
        <v>0.006448599371</v>
      </c>
      <c r="I14" s="124">
        <f>E14/Introduction!$I$20</f>
        <v>0.5145765625</v>
      </c>
      <c r="J14" s="125">
        <f t="shared" si="7"/>
        <v>0.163794424</v>
      </c>
      <c r="K14" s="51"/>
      <c r="L14" s="51"/>
      <c r="M14" s="51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286" t="s">
        <v>31</v>
      </c>
      <c r="AB14" s="286" t="s">
        <v>24</v>
      </c>
      <c r="AC14" s="287">
        <f>IF('Ship Data Imperial'!E15&gt;0,'Ship Data Imperial'!E15,AD14)</f>
        <v>0</v>
      </c>
      <c r="AD14" s="287">
        <f>'Ship Data Metric'!E15*0.03280839895</f>
        <v>0</v>
      </c>
      <c r="AE14" s="284">
        <f>IF(AC14&gt;0,Standing!$C$75*0.45,0)</f>
        <v>0</v>
      </c>
      <c r="AF14" s="280">
        <f>IF(AC14&gt;0,Standing!$C$75*0.25,0)</f>
        <v>0</v>
      </c>
      <c r="AG14" s="281">
        <f>IF(AC14&gt;0,Standing!$C$75*0.165,0)</f>
        <v>0</v>
      </c>
      <c r="AH14" s="282">
        <f>IF(AC14&gt;0,Standing!$C$75*0.6,0)</f>
        <v>0</v>
      </c>
      <c r="AI14" s="283">
        <f>IF(AC14&gt;0,Standing!$C$75*0.16,0)</f>
        <v>0</v>
      </c>
      <c r="AJ14" s="284">
        <f>IF(AC14&gt;0,Standing!$C$75*0.2,0)</f>
        <v>0</v>
      </c>
      <c r="AK14" s="281">
        <f>IF(AC14&gt;0,Standing!$C$81*0.5,0)</f>
        <v>0</v>
      </c>
      <c r="AL14" s="282">
        <f t="shared" si="1"/>
        <v>0</v>
      </c>
      <c r="AM14" s="283">
        <f>IF(AC14&gt;0,Standing!$C$81*0.5,0)</f>
        <v>0</v>
      </c>
      <c r="AN14" s="284">
        <f>IF(AC14&gt;0,Standing!$C$81*0.45,0)</f>
        <v>0</v>
      </c>
      <c r="AO14" s="280">
        <f>IF(AC14&gt;0,Standing!$C$81*0.3,0)</f>
        <v>0</v>
      </c>
      <c r="AP14" s="281">
        <f>IF(AC14&gt;0,Standing!$C$81,0)</f>
        <v>0</v>
      </c>
      <c r="AQ14" s="282">
        <f>IF(AC14&gt;0,Standing!$C$85,0)</f>
        <v>0</v>
      </c>
      <c r="AR14" s="283">
        <f>IF(AC14&gt;0,Standing!$C$85*0.8,0)</f>
        <v>0</v>
      </c>
      <c r="AS14" s="284">
        <f>IF(AC14&gt;0,Standing!$C$85*0.66,0)</f>
        <v>0</v>
      </c>
      <c r="AT14" s="280">
        <f>IF(AC14&gt;0,Standing!$C$85*0.5,0)</f>
        <v>0</v>
      </c>
      <c r="AU14" s="281">
        <f>IF(AC14&gt;0,Standing!$C$75*0.2,0)</f>
        <v>0</v>
      </c>
      <c r="AV14" s="282">
        <f>IF(AC14&gt;0,Standing!$C$75*0.12,0)</f>
        <v>0</v>
      </c>
      <c r="AW14" s="283">
        <f>IF(AC14&gt;0,Standing!$C$26*0.4,0)</f>
        <v>0</v>
      </c>
      <c r="AX14" s="284">
        <f>IF(AC14&gt;0,Standing!$C$26*0.4,0)</f>
        <v>0</v>
      </c>
      <c r="AY14" s="280">
        <f>IF(AC14&gt;0,Standing!$C$26*0.2,0)</f>
        <v>0</v>
      </c>
      <c r="AZ14" s="281">
        <f>IF(AC14&gt;0,Standing!$C$26*0.4,0)</f>
        <v>0</v>
      </c>
      <c r="BA14" s="282">
        <f>IF(AC14&gt;0,Standing!$C$26*0.2,0)</f>
        <v>0</v>
      </c>
      <c r="BB14" s="283">
        <f>IF(AC14&gt;0,Standing!$C$26*0.2,0)</f>
        <v>0</v>
      </c>
      <c r="BC14" s="284">
        <f>IF(AC14&gt;0,Standing!$C$32*0.4,0)</f>
        <v>0</v>
      </c>
      <c r="BD14" s="280">
        <f>IF(AC14&gt;0,Standing!$C$32*0.6,0)</f>
        <v>0</v>
      </c>
      <c r="BE14" s="281">
        <f>IF(AC14&gt;0,Standing!$C$32*0.4,0)</f>
        <v>0</v>
      </c>
      <c r="BF14" s="282">
        <f>IF(AC14&gt;0,Standing!$C$32*0.5,0)</f>
        <v>0</v>
      </c>
      <c r="BG14" s="283">
        <f>IF(AC14&gt;0,Standing!$C$32*0.5,0)</f>
        <v>0</v>
      </c>
      <c r="BH14" s="284">
        <f>IF(AC14&gt;0,Standing!$C$32*0.33,0)</f>
        <v>0</v>
      </c>
      <c r="BI14" s="280">
        <f>IF(AC14&gt;0,Standing!$C$26*0.5,0)</f>
        <v>0</v>
      </c>
      <c r="BJ14" s="281">
        <f>IF(AC14&gt;0,Standing!$C$26*0.5,0)</f>
        <v>0</v>
      </c>
      <c r="BK14" s="282">
        <f>IF(AC14&gt;0,Standing!$C$26*0.6,0)</f>
        <v>0</v>
      </c>
      <c r="BL14" s="283">
        <f>IF(AC14&gt;0,Standing!$C$32,0)</f>
        <v>0</v>
      </c>
      <c r="BM14" s="281">
        <f>IF(AC14&gt;0,Standing!$C$32*0.9,0)</f>
        <v>0</v>
      </c>
      <c r="BN14" s="284">
        <f t="shared" si="2"/>
        <v>0</v>
      </c>
      <c r="BO14" s="282">
        <f>IF(AC14&gt;0,Standing!$C$32*0.5,0)</f>
        <v>0</v>
      </c>
      <c r="BP14" s="280">
        <f>IF(AC14&gt;0,Standing!$C$32*0.5,0)</f>
        <v>0</v>
      </c>
      <c r="BQ14" s="281">
        <f>IF(AC14&gt;0,Standing!$C$32*0.5,0)</f>
        <v>0</v>
      </c>
      <c r="BR14" s="282">
        <f>IF(AC14&gt;0,Standing!$C$32*0.4,0)</f>
        <v>0</v>
      </c>
      <c r="BS14" s="283">
        <f>IF(AC14&gt;0,Standing!$C$32*0.33,0)</f>
        <v>0</v>
      </c>
      <c r="BT14" s="284">
        <f>IF(AC14&gt;0,Standing!$C$32*0.3,0)</f>
        <v>0</v>
      </c>
      <c r="BU14" s="280">
        <f>IF(AC14&gt;0,Standing!$C$36,0)</f>
        <v>0</v>
      </c>
      <c r="BV14" s="281">
        <f>IF(AC14&gt;0,Standing!$C$36*0.66,0)</f>
        <v>0</v>
      </c>
      <c r="BW14" s="282">
        <f>IF(AC14&gt;0,Standing!$C$126*0.75,0)</f>
        <v>0</v>
      </c>
      <c r="BX14" s="283">
        <f>IF(AC14&gt;0,Standing!$C$126*0.66,0)</f>
        <v>0</v>
      </c>
      <c r="BY14" s="284">
        <f>IF(AC14&gt;0,Standing!$C$126*0.66,0)</f>
        <v>0</v>
      </c>
      <c r="BZ14" s="280">
        <f>IF(AC14&gt;0,Standing!$C$126*0.5,0)</f>
        <v>0</v>
      </c>
      <c r="CA14" s="281">
        <f>IF(AC14&gt;0,Standing!$C$132,0)</f>
        <v>0</v>
      </c>
      <c r="CB14" s="282">
        <f>IF(AC14&gt;0,Standing!$C$132*0.75,0)</f>
        <v>0</v>
      </c>
      <c r="CC14" s="283">
        <f>IF(AC14&gt;0,Standing!$C$132,0)</f>
        <v>0</v>
      </c>
      <c r="CD14" s="284">
        <f>IF(AC14&gt;0,Standing!$C$132*0.75,0)</f>
        <v>0</v>
      </c>
      <c r="CE14" s="280">
        <f>IF(AC14&gt;0,Standing!$C$132*0.4,0)</f>
        <v>0</v>
      </c>
      <c r="CF14" s="281">
        <f>IF(AC14&gt;0,Standing!$C$132*0.75,0)</f>
        <v>0</v>
      </c>
      <c r="CG14" s="282">
        <f>IF(AC14&gt;0,Standing!$C$132*0.66,0)</f>
        <v>0</v>
      </c>
      <c r="CH14" s="283">
        <f>IF(AC14&gt;0,Standing!$C$132*0.75,0)</f>
        <v>0</v>
      </c>
      <c r="CI14" s="284">
        <f>IF(AC14&gt;0,Standing!$C$132*0.66,0)</f>
        <v>0</v>
      </c>
      <c r="CJ14" s="280">
        <f>IF(AC14&gt;0,Standing!$C$132*0.66,0)</f>
        <v>0</v>
      </c>
      <c r="CK14" s="281">
        <f>IF(AC14&gt;0,Standing!$C$126,0)</f>
        <v>0</v>
      </c>
      <c r="CL14" s="282">
        <f>IF(AC14&gt;0,Standing!$C$126,0)</f>
        <v>0</v>
      </c>
      <c r="CM14" s="283">
        <f>IF(AC14&gt;0,Standing!$C$126,0)</f>
        <v>0</v>
      </c>
      <c r="CN14" s="284">
        <f>IF(AC14&gt;0,Standing!$C$126*0.66,0)</f>
        <v>0</v>
      </c>
      <c r="CO14" s="280">
        <f>IF(AC14&gt;0,Standing!$C$126*0.5,0)</f>
        <v>0</v>
      </c>
      <c r="CP14" s="281">
        <f>IF(AC14&gt;0,Standing!$C$26*0.25,0)</f>
        <v>0</v>
      </c>
      <c r="CQ14" s="282">
        <f>IF(AC14&gt;0,Standing!$C$26*0.165,0)</f>
        <v>0</v>
      </c>
      <c r="CR14" s="283">
        <f>IF(AC14&gt;0,Standing!$C$26*0.2,0)</f>
        <v>0</v>
      </c>
      <c r="CS14" s="285">
        <f>IF(AC14&gt;0,Standing!$C$26*0.16,0)</f>
        <v>0</v>
      </c>
      <c r="CT14" s="286" t="s">
        <v>31</v>
      </c>
      <c r="CU14" s="286" t="s">
        <v>24</v>
      </c>
    </row>
    <row r="15">
      <c r="A15" s="51"/>
      <c r="B15" s="291" t="s">
        <v>470</v>
      </c>
      <c r="C15" s="189">
        <f>Standing!$C$26*0.25</f>
        <v>1.473375984</v>
      </c>
      <c r="D15" s="218">
        <f t="shared" si="3"/>
        <v>0.4689890452</v>
      </c>
      <c r="E15" s="190">
        <f t="shared" si="4"/>
        <v>37.42375</v>
      </c>
      <c r="F15" s="122">
        <f t="shared" si="5"/>
        <v>11.91232175</v>
      </c>
      <c r="G15" s="123">
        <f>C15/Introduction!$I$20</f>
        <v>0.0153476665</v>
      </c>
      <c r="H15" s="192">
        <f t="shared" si="6"/>
        <v>0.004885302554</v>
      </c>
      <c r="I15" s="124">
        <f>E15/Introduction!$I$20</f>
        <v>0.3898307292</v>
      </c>
      <c r="J15" s="125">
        <f t="shared" si="7"/>
        <v>0.1240866849</v>
      </c>
      <c r="K15" s="51"/>
      <c r="L15" s="51"/>
      <c r="M15" s="51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286"/>
      <c r="AB15" s="286" t="s">
        <v>25</v>
      </c>
      <c r="AC15" s="287">
        <f>IF('Ship Data Imperial'!E16&gt;0,'Ship Data Imperial'!E16,AD15)</f>
        <v>0</v>
      </c>
      <c r="AD15" s="287">
        <f>'Ship Data Metric'!E16*0.03280839895</f>
        <v>0</v>
      </c>
      <c r="AE15" s="284">
        <f>IF(AC15&gt;0,Standing!$C$75*0.45,0)</f>
        <v>0</v>
      </c>
      <c r="AF15" s="280">
        <f>IF(AC15&gt;0,Standing!$C$75*0.25,0)</f>
        <v>0</v>
      </c>
      <c r="AG15" s="281">
        <f>IF(AC15&gt;0,Standing!$C$75*0.165,0)</f>
        <v>0</v>
      </c>
      <c r="AH15" s="282">
        <f>IF(AC15&gt;0,Standing!$C$75*0.6,0)</f>
        <v>0</v>
      </c>
      <c r="AI15" s="283">
        <f>IF(AC15&gt;0,Standing!$C$75*0.16,0)</f>
        <v>0</v>
      </c>
      <c r="AJ15" s="284">
        <f>IF(AC15&gt;0,Standing!$C$75*0.2,0)</f>
        <v>0</v>
      </c>
      <c r="AK15" s="281">
        <f>IF(AC15&gt;0,Standing!$C$81*0.5,0)</f>
        <v>0</v>
      </c>
      <c r="AL15" s="282">
        <f t="shared" si="1"/>
        <v>0</v>
      </c>
      <c r="AM15" s="283">
        <f>IF(AC15&gt;0,Standing!$C$81*0.5,0)</f>
        <v>0</v>
      </c>
      <c r="AN15" s="284">
        <f>IF(AC15&gt;0,Standing!$C$81*0.45,0)</f>
        <v>0</v>
      </c>
      <c r="AO15" s="280">
        <f>IF(AC15&gt;0,Standing!$C$81*0.3,0)</f>
        <v>0</v>
      </c>
      <c r="AP15" s="281">
        <f>IF(AC15&gt;0,Standing!$C$81,0)</f>
        <v>0</v>
      </c>
      <c r="AQ15" s="282">
        <f>IF(AC15&gt;0,Standing!$C$85,0)</f>
        <v>0</v>
      </c>
      <c r="AR15" s="283">
        <f>IF(AC15&gt;0,Standing!$C$85*0.8,0)</f>
        <v>0</v>
      </c>
      <c r="AS15" s="284">
        <f>IF(AC15&gt;0,Standing!$C$85*0.66,0)</f>
        <v>0</v>
      </c>
      <c r="AT15" s="280">
        <f>IF(AC15&gt;0,Standing!$C$85*0.5,0)</f>
        <v>0</v>
      </c>
      <c r="AU15" s="281">
        <f>IF(AC15&gt;0,Standing!$C$75*0.2,0)</f>
        <v>0</v>
      </c>
      <c r="AV15" s="282">
        <f>IF(AC15&gt;0,Standing!$C$75*0.12,0)</f>
        <v>0</v>
      </c>
      <c r="AW15" s="283">
        <f>IF(AC15&gt;0,Standing!$C$26*0.4,0)</f>
        <v>0</v>
      </c>
      <c r="AX15" s="284">
        <f>IF(AC15&gt;0,Standing!$C$26*0.4,0)</f>
        <v>0</v>
      </c>
      <c r="AY15" s="280">
        <f>IF(AC15&gt;0,Standing!$C$26*0.2,0)</f>
        <v>0</v>
      </c>
      <c r="AZ15" s="281">
        <f>IF(AC15&gt;0,Standing!$C$26*0.4,0)</f>
        <v>0</v>
      </c>
      <c r="BA15" s="282">
        <f>IF(AC15&gt;0,Standing!$C$26*0.2,0)</f>
        <v>0</v>
      </c>
      <c r="BB15" s="283">
        <f>IF(AC15&gt;0,Standing!$C$26*0.2,0)</f>
        <v>0</v>
      </c>
      <c r="BC15" s="284">
        <f>IF(AC15&gt;0,Standing!$C$32*0.4,0)</f>
        <v>0</v>
      </c>
      <c r="BD15" s="280">
        <f>IF(AC15&gt;0,Standing!$C$32*0.6,0)</f>
        <v>0</v>
      </c>
      <c r="BE15" s="281">
        <f>IF(AC15&gt;0,Standing!$C$32*0.4,0)</f>
        <v>0</v>
      </c>
      <c r="BF15" s="282">
        <f>IF(AC15&gt;0,Standing!$C$32*0.5,0)</f>
        <v>0</v>
      </c>
      <c r="BG15" s="283">
        <f>IF(AC15&gt;0,Standing!$C$32*0.5,0)</f>
        <v>0</v>
      </c>
      <c r="BH15" s="284">
        <f>IF(AC15&gt;0,Standing!$C$32*0.33,0)</f>
        <v>0</v>
      </c>
      <c r="BI15" s="280">
        <f>IF(AC15&gt;0,Standing!$C$26*0.5,0)</f>
        <v>0</v>
      </c>
      <c r="BJ15" s="281">
        <f>IF(AC15&gt;0,Standing!$C$26*0.5,0)</f>
        <v>0</v>
      </c>
      <c r="BK15" s="282">
        <f>IF(AC15&gt;0,Standing!$C$26*0.6,0)</f>
        <v>0</v>
      </c>
      <c r="BL15" s="283">
        <f>IF(AC15&gt;0,Standing!$C$32,0)</f>
        <v>0</v>
      </c>
      <c r="BM15" s="281">
        <f>IF(AC15&gt;0,Standing!$C$32*0.9,0)</f>
        <v>0</v>
      </c>
      <c r="BN15" s="284">
        <f t="shared" si="2"/>
        <v>0</v>
      </c>
      <c r="BO15" s="282">
        <f>IF(AC15&gt;0,Standing!$C$32*0.5,0)</f>
        <v>0</v>
      </c>
      <c r="BP15" s="280">
        <f>IF(AC15&gt;0,Standing!$C$32*0.5,0)</f>
        <v>0</v>
      </c>
      <c r="BQ15" s="281">
        <f>IF(AC15&gt;0,Standing!$C$32*0.5,0)</f>
        <v>0</v>
      </c>
      <c r="BR15" s="282">
        <f>IF(AC15&gt;0,Standing!$C$32*0.4,0)</f>
        <v>0</v>
      </c>
      <c r="BS15" s="283">
        <f>IF(AC15&gt;0,Standing!$C$32*0.33,0)</f>
        <v>0</v>
      </c>
      <c r="BT15" s="284">
        <f>IF(AC15&gt;0,Standing!$C$32*0.3,0)</f>
        <v>0</v>
      </c>
      <c r="BU15" s="280">
        <f>IF(AC15&gt;0,Standing!$C$36,0)</f>
        <v>0</v>
      </c>
      <c r="BV15" s="281">
        <f>IF(AC15&gt;0,Standing!$C$36*0.66,0)</f>
        <v>0</v>
      </c>
      <c r="BW15" s="282">
        <f>IF(AC15&gt;0,Standing!$C$126*0.75,0)</f>
        <v>0</v>
      </c>
      <c r="BX15" s="283">
        <f>IF(AC15&gt;0,Standing!$C$126*0.66,0)</f>
        <v>0</v>
      </c>
      <c r="BY15" s="284">
        <f>IF(AC15&gt;0,Standing!$C$126*0.66,0)</f>
        <v>0</v>
      </c>
      <c r="BZ15" s="280">
        <f>IF(AC15&gt;0,Standing!$C$126*0.5,0)</f>
        <v>0</v>
      </c>
      <c r="CA15" s="281">
        <f>IF(AC15&gt;0,Standing!$C$132,0)</f>
        <v>0</v>
      </c>
      <c r="CB15" s="282">
        <f>IF(AC15&gt;0,Standing!$C$132*0.75,0)</f>
        <v>0</v>
      </c>
      <c r="CC15" s="283">
        <f>IF(AC15&gt;0,Standing!$C$132,0)</f>
        <v>0</v>
      </c>
      <c r="CD15" s="284">
        <f>IF(AC15&gt;0,Standing!$C$132*0.75,0)</f>
        <v>0</v>
      </c>
      <c r="CE15" s="280">
        <f>IF(AC15&gt;0,Standing!$C$132*0.4,0)</f>
        <v>0</v>
      </c>
      <c r="CF15" s="281">
        <f>IF(AC15&gt;0,Standing!$C$132*0.75,0)</f>
        <v>0</v>
      </c>
      <c r="CG15" s="282">
        <f>IF(AC15&gt;0,Standing!$C$132*0.66,0)</f>
        <v>0</v>
      </c>
      <c r="CH15" s="283">
        <f>IF(AC15&gt;0,Standing!$C$132*0.75,0)</f>
        <v>0</v>
      </c>
      <c r="CI15" s="284">
        <f>IF(AC15&gt;0,Standing!$C$132*0.66,0)</f>
        <v>0</v>
      </c>
      <c r="CJ15" s="280">
        <f>IF(AC15&gt;0,Standing!$C$132*0.66,0)</f>
        <v>0</v>
      </c>
      <c r="CK15" s="281">
        <f>IF(AC15&gt;0,Standing!$C$126,0)</f>
        <v>0</v>
      </c>
      <c r="CL15" s="282">
        <f>IF(AC15&gt;0,Standing!$C$126,0)</f>
        <v>0</v>
      </c>
      <c r="CM15" s="283">
        <f>IF(AC15&gt;0,Standing!$C$126,0)</f>
        <v>0</v>
      </c>
      <c r="CN15" s="284">
        <f>IF(AC15&gt;0,Standing!$C$126*0.66,0)</f>
        <v>0</v>
      </c>
      <c r="CO15" s="280">
        <f>IF(AC15&gt;0,Standing!$C$126*0.5,0)</f>
        <v>0</v>
      </c>
      <c r="CP15" s="281">
        <f>IF(AC15&gt;0,Standing!$C$26*0.25,0)</f>
        <v>0</v>
      </c>
      <c r="CQ15" s="282">
        <f>IF(AC15&gt;0,Standing!$C$26*0.165,0)</f>
        <v>0</v>
      </c>
      <c r="CR15" s="283">
        <f>IF(AC15&gt;0,Standing!$C$26*0.2,0)</f>
        <v>0</v>
      </c>
      <c r="CS15" s="285">
        <f>IF(AC15&gt;0,Standing!$C$26*0.16,0)</f>
        <v>0</v>
      </c>
      <c r="CT15" s="286"/>
      <c r="CU15" s="286" t="s">
        <v>25</v>
      </c>
    </row>
    <row r="16">
      <c r="A16" s="51"/>
      <c r="B16" s="290" t="s">
        <v>471</v>
      </c>
      <c r="C16" s="189">
        <f>IF(Standing!$C$26*0.1&gt;1,Standing!$C$26*0.1,1)</f>
        <v>1</v>
      </c>
      <c r="D16" s="218">
        <f t="shared" si="3"/>
        <v>0.3183091418</v>
      </c>
      <c r="E16" s="190">
        <f t="shared" si="4"/>
        <v>25.4</v>
      </c>
      <c r="F16" s="122">
        <f t="shared" si="5"/>
        <v>8.085052203</v>
      </c>
      <c r="G16" s="123">
        <f>C16/Introduction!$I$20</f>
        <v>0.01041666667</v>
      </c>
      <c r="H16" s="192">
        <f t="shared" si="6"/>
        <v>0.003315720227</v>
      </c>
      <c r="I16" s="124">
        <f>E16/Introduction!$I$20</f>
        <v>0.2645833333</v>
      </c>
      <c r="J16" s="125">
        <f t="shared" si="7"/>
        <v>0.08421929378</v>
      </c>
      <c r="K16" s="51"/>
      <c r="L16" s="51"/>
      <c r="M16" s="51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286"/>
      <c r="AB16" s="286" t="s">
        <v>26</v>
      </c>
      <c r="AC16" s="287">
        <f>IF('Ship Data Imperial'!E17&gt;0,'Ship Data Imperial'!E17,AD16)</f>
        <v>0</v>
      </c>
      <c r="AD16" s="287">
        <f>'Ship Data Metric'!E17*0.03280839895</f>
        <v>0</v>
      </c>
      <c r="AE16" s="284">
        <f>IF(AC16&gt;0,Standing!$C$75*0.45,0)</f>
        <v>0</v>
      </c>
      <c r="AF16" s="280">
        <f>IF(AC16&gt;0,Standing!$C$75*0.25,0)</f>
        <v>0</v>
      </c>
      <c r="AG16" s="281">
        <f>IF(AC16&gt;0,Standing!$C$75*0.2,0)</f>
        <v>0</v>
      </c>
      <c r="AH16" s="282">
        <f>IF(AC16&gt;0,Standing!$C$75*0.6,0)</f>
        <v>0</v>
      </c>
      <c r="AI16" s="283">
        <f>IF(AC16&gt;0,Standing!$C$75*0.2,0)</f>
        <v>0</v>
      </c>
      <c r="AJ16" s="284">
        <f>IF(AC16&gt;0,Standing!$C$75*0.25,0)</f>
        <v>0</v>
      </c>
      <c r="AK16" s="281">
        <f>IF(AC16&gt;0,Standing!$C$81*0.5,0)</f>
        <v>0</v>
      </c>
      <c r="AL16" s="282">
        <f t="shared" si="1"/>
        <v>0</v>
      </c>
      <c r="AM16" s="283">
        <f>IF(AC16&gt;0,Standing!$C$81*0.66,0)</f>
        <v>0</v>
      </c>
      <c r="AN16" s="284">
        <f>IF(AC16&gt;0,Standing!$C$81*0.45,0)</f>
        <v>0</v>
      </c>
      <c r="AO16" s="280">
        <f>IF(AC16&gt;0,Standing!$C$81*0.3,0)</f>
        <v>0</v>
      </c>
      <c r="AP16" s="281">
        <f>IF(AC16&gt;0,Standing!$C$81*0.9,0)</f>
        <v>0</v>
      </c>
      <c r="AQ16" s="282">
        <f>IF(AC16&gt;0,Standing!$C$85,0)</f>
        <v>0</v>
      </c>
      <c r="AR16" s="283">
        <f>IF(AC16&gt;0,Standing!$C$85*0.8,0)</f>
        <v>0</v>
      </c>
      <c r="AS16" s="284">
        <f>IF(AC16&gt;0,Standing!$C$85*0.66,0)</f>
        <v>0</v>
      </c>
      <c r="AT16" s="280">
        <f>IF(AC16&gt;0,Standing!$C$85*0.5,0)</f>
        <v>0</v>
      </c>
      <c r="AU16" s="281">
        <f>IF(AC16&gt;0,Standing!$C$75*0.2,0)</f>
        <v>0</v>
      </c>
      <c r="AV16" s="282">
        <f>IF(AC16&gt;0,Standing!$C$75*0.12,0)</f>
        <v>0</v>
      </c>
      <c r="AW16" s="283">
        <f>IF(AC16&gt;0,Standing!$C$26*0.4,0)</f>
        <v>0</v>
      </c>
      <c r="AX16" s="284">
        <f>IF(AC16&gt;0,Standing!$C$26*0.4,0)</f>
        <v>0</v>
      </c>
      <c r="AY16" s="280">
        <f>IF(AC16&gt;0,Standing!$C$26*0.2,0)</f>
        <v>0</v>
      </c>
      <c r="AZ16" s="281">
        <f>IF(AC16&gt;0,Standing!$C$26*0.4,0)</f>
        <v>0</v>
      </c>
      <c r="BA16" s="282">
        <f>IF(AC16&gt;0,Standing!$C$26*0.2,0)</f>
        <v>0</v>
      </c>
      <c r="BB16" s="283">
        <f>IF(AC16&gt;0,Standing!$C$26*0.2,0)</f>
        <v>0</v>
      </c>
      <c r="BC16" s="284">
        <f>IF(AC16&gt;0,Standing!$C$32*0.4,0)</f>
        <v>0</v>
      </c>
      <c r="BD16" s="280">
        <f>IF(AC16&gt;0,Standing!$C$32*0.6,0)</f>
        <v>0</v>
      </c>
      <c r="BE16" s="281">
        <f>IF(AC16&gt;0,Standing!$C$32*0.4,0)</f>
        <v>0</v>
      </c>
      <c r="BF16" s="282">
        <f>IF(AC16&gt;0,Standing!$C$32*0.5,0)</f>
        <v>0</v>
      </c>
      <c r="BG16" s="283">
        <f>IF(AC16&gt;0,Standing!$C$32*0.5,0)</f>
        <v>0</v>
      </c>
      <c r="BH16" s="284">
        <f>IF(AC16&gt;0,Standing!$C$32*0.4,0)</f>
        <v>0</v>
      </c>
      <c r="BI16" s="280">
        <f>IF(AC16&gt;0,Standing!$C$26*0.5,0)</f>
        <v>0</v>
      </c>
      <c r="BJ16" s="281">
        <f>IF(AC16&gt;0,Standing!$C$26*0.5,0)</f>
        <v>0</v>
      </c>
      <c r="BK16" s="282">
        <f>IF(AC16&gt;0,Standing!$C$26*0.6,0)</f>
        <v>0</v>
      </c>
      <c r="BL16" s="283">
        <f>IF(AC16&gt;0,Standing!$C$32,0)</f>
        <v>0</v>
      </c>
      <c r="BM16" s="281">
        <f>IF(AC16&gt;0,Standing!$C$32*0.85,0)</f>
        <v>0</v>
      </c>
      <c r="BN16" s="284">
        <f t="shared" si="2"/>
        <v>0</v>
      </c>
      <c r="BO16" s="282">
        <f>IF(AC16&gt;0,Standing!$C$32*0.5,0)</f>
        <v>0</v>
      </c>
      <c r="BP16" s="280">
        <f>IF(AC16&gt;0,Standing!$C$32*0.5,0)</f>
        <v>0</v>
      </c>
      <c r="BQ16" s="281">
        <f>IF(AC16&gt;0,Standing!$C$32*0.5,0)</f>
        <v>0</v>
      </c>
      <c r="BR16" s="282">
        <f>IF(AC16&gt;0,Standing!$C$32*0.4,0)</f>
        <v>0</v>
      </c>
      <c r="BS16" s="283">
        <f>IF(AC16&gt;0,Standing!$C$32*0.33,0)</f>
        <v>0</v>
      </c>
      <c r="BT16" s="284">
        <f>IF(AC16&gt;0,Standing!$C$32*0.3,0)</f>
        <v>0</v>
      </c>
      <c r="BU16" s="280">
        <f>IF(AC16&gt;0,Standing!$C$36,0)</f>
        <v>0</v>
      </c>
      <c r="BV16" s="281">
        <f>IF(AC16&gt;0,Standing!$C$36*0.66,0)</f>
        <v>0</v>
      </c>
      <c r="BW16" s="282">
        <f>IF(AC16&gt;0,Standing!$C$126*0.75,0)</f>
        <v>0</v>
      </c>
      <c r="BX16" s="283">
        <f>IF(AC16&gt;0,Standing!$C$126*0.66,0)</f>
        <v>0</v>
      </c>
      <c r="BY16" s="284">
        <f>IF(AC16&gt;0,Standing!$C$126*0.66,0)</f>
        <v>0</v>
      </c>
      <c r="BZ16" s="280">
        <f>IF(AC16&gt;0,Standing!$C$126*0.5,0)</f>
        <v>0</v>
      </c>
      <c r="CA16" s="281">
        <f>IF(AC16&gt;0,Standing!$C$132,0)</f>
        <v>0</v>
      </c>
      <c r="CB16" s="282">
        <f>IF(AC16&gt;0,Standing!$C$132*0.75,0)</f>
        <v>0</v>
      </c>
      <c r="CC16" s="283">
        <f>IF(AC16&gt;0,Standing!$C$132,0)</f>
        <v>0</v>
      </c>
      <c r="CD16" s="284">
        <f>IF(AC16&gt;0,Standing!$C$132*0.75,0)</f>
        <v>0</v>
      </c>
      <c r="CE16" s="280">
        <f>IF(AC16&gt;0,Standing!$C$132*0.4,0)</f>
        <v>0</v>
      </c>
      <c r="CF16" s="281">
        <f>IF(AC16&gt;0,Standing!$C$132*0.75,0)</f>
        <v>0</v>
      </c>
      <c r="CG16" s="282">
        <f>IF(AC16&gt;0,Standing!$C$132*0.66,0)</f>
        <v>0</v>
      </c>
      <c r="CH16" s="283">
        <f>IF(AC16&gt;0,Standing!$C$132*0.75,0)</f>
        <v>0</v>
      </c>
      <c r="CI16" s="284">
        <f>IF(AC16&gt;0,Standing!$C$132*0.66,0)</f>
        <v>0</v>
      </c>
      <c r="CJ16" s="280">
        <f>IF(AC16&gt;0,Standing!$C$132*0.66,0)</f>
        <v>0</v>
      </c>
      <c r="CK16" s="281">
        <f>IF(AC16&gt;0,Standing!$C$126,0)</f>
        <v>0</v>
      </c>
      <c r="CL16" s="282">
        <f>IF(AC16&gt;0,Standing!$C$126,0)</f>
        <v>0</v>
      </c>
      <c r="CM16" s="283">
        <f>IF(AC16&gt;0,Standing!$C$126,0)</f>
        <v>0</v>
      </c>
      <c r="CN16" s="284">
        <f>IF(AC16&gt;0,Standing!$C$126*0.66,0)</f>
        <v>0</v>
      </c>
      <c r="CO16" s="280">
        <f>IF(AC16&gt;0,Standing!$C$126*0.5,0)</f>
        <v>0</v>
      </c>
      <c r="CP16" s="281">
        <f>IF(AC16&gt;0,Standing!$C$26*0.25,0)</f>
        <v>0</v>
      </c>
      <c r="CQ16" s="282">
        <f>IF(AC16&gt;0,Standing!$C$26*0.2,0)</f>
        <v>0</v>
      </c>
      <c r="CR16" s="283">
        <f>IF(AC16&gt;0,Standing!$C$26*0.25,0)</f>
        <v>0</v>
      </c>
      <c r="CS16" s="285">
        <f>IF(AC16&gt;0,Standing!$C$26*0.2,0)</f>
        <v>0</v>
      </c>
      <c r="CT16" s="286"/>
      <c r="CU16" s="286" t="s">
        <v>26</v>
      </c>
    </row>
    <row r="17">
      <c r="A17" s="51"/>
      <c r="B17" s="290" t="s">
        <v>472</v>
      </c>
      <c r="C17" s="119">
        <f>IF(BA136&gt;1,BA136,1)</f>
        <v>1</v>
      </c>
      <c r="D17" s="218">
        <f t="shared" si="3"/>
        <v>0.3183091418</v>
      </c>
      <c r="E17" s="190">
        <f t="shared" si="4"/>
        <v>25.4</v>
      </c>
      <c r="F17" s="122">
        <f t="shared" si="5"/>
        <v>8.085052203</v>
      </c>
      <c r="G17" s="123">
        <f>C17/Introduction!$I$20</f>
        <v>0.01041666667</v>
      </c>
      <c r="H17" s="192">
        <f t="shared" si="6"/>
        <v>0.003315720227</v>
      </c>
      <c r="I17" s="124">
        <f>E17/Introduction!$I$20</f>
        <v>0.2645833333</v>
      </c>
      <c r="J17" s="125">
        <f t="shared" si="7"/>
        <v>0.08421929378</v>
      </c>
      <c r="K17" s="51"/>
      <c r="L17" s="51"/>
      <c r="M17" s="51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286"/>
      <c r="AB17" s="286" t="s">
        <v>27</v>
      </c>
      <c r="AC17" s="287">
        <f>IF('Ship Data Imperial'!E18&gt;0,'Ship Data Imperial'!E18,AD17)</f>
        <v>0</v>
      </c>
      <c r="AD17" s="287">
        <f>'Ship Data Metric'!E18*0.03280839895</f>
        <v>0</v>
      </c>
      <c r="AE17" s="284">
        <f>IF(AC17&gt;0,Standing!$C$75*0.45,0)</f>
        <v>0</v>
      </c>
      <c r="AF17" s="280">
        <f>IF(AC17&gt;0,Standing!$C$75*0.33,0)</f>
        <v>0</v>
      </c>
      <c r="AG17" s="281">
        <f>IF(AC17&gt;0,Standing!$C$75*0.2,0)</f>
        <v>0</v>
      </c>
      <c r="AH17" s="282">
        <f>IF(AC17&gt;0,Standing!$C$75*0.6,0)</f>
        <v>0</v>
      </c>
      <c r="AI17" s="283">
        <f>IF(AC17&gt;0,Standing!$C$75*0.2,0)</f>
        <v>0</v>
      </c>
      <c r="AJ17" s="284">
        <f>IF(AC17&gt;0,Standing!$C$75*0.25,0)</f>
        <v>0</v>
      </c>
      <c r="AK17" s="281">
        <f>IF(AC17&gt;0,Standing!$C$81*0.5,0)</f>
        <v>0</v>
      </c>
      <c r="AL17" s="282">
        <f t="shared" si="1"/>
        <v>0</v>
      </c>
      <c r="AM17" s="283">
        <f>IF(AC17&gt;0,Standing!$C$81*0.66,0)</f>
        <v>0</v>
      </c>
      <c r="AN17" s="284">
        <f>IF(AC17&gt;0,Standing!$C$81*0.45,0)</f>
        <v>0</v>
      </c>
      <c r="AO17" s="280">
        <f>IF(AC17&gt;0,Standing!$C$81*0.3,0)</f>
        <v>0</v>
      </c>
      <c r="AP17" s="281">
        <f>IF(AC17&gt;0,Standing!$C$81*0.9,0)</f>
        <v>0</v>
      </c>
      <c r="AQ17" s="282">
        <f>IF(AC17&gt;0,Standing!$C$85,0)</f>
        <v>0</v>
      </c>
      <c r="AR17" s="283">
        <f>IF(AC17&gt;0,Standing!$C$85*0.8,0)</f>
        <v>0</v>
      </c>
      <c r="AS17" s="284">
        <f>IF(AC17&gt;0,Standing!$C$85*0.66,0)</f>
        <v>0</v>
      </c>
      <c r="AT17" s="280">
        <f>IF(AC17&gt;0,Standing!$C$85*0.5,0)</f>
        <v>0</v>
      </c>
      <c r="AU17" s="281">
        <f>IF(AC17&gt;0,Standing!$C$75*0.25,0)</f>
        <v>0</v>
      </c>
      <c r="AV17" s="282">
        <f>IF(AC17&gt;0,Standing!$C$75*0.12,0)</f>
        <v>0</v>
      </c>
      <c r="AW17" s="283">
        <f>IF(AC17&gt;0,Standing!$C$26*0.4,0)</f>
        <v>0</v>
      </c>
      <c r="AX17" s="284">
        <f>IF(AC17&gt;0,Standing!$C$26*0.4,0)</f>
        <v>0</v>
      </c>
      <c r="AY17" s="280">
        <f>IF(AC17&gt;0,Standing!$C$26*0.2,0)</f>
        <v>0</v>
      </c>
      <c r="AZ17" s="281">
        <f>IF(AC17&gt;0,Standing!$C$26*0.4,0)</f>
        <v>0</v>
      </c>
      <c r="BA17" s="282">
        <f>IF(AC17&gt;0,Standing!$C$26*0.2,0)</f>
        <v>0</v>
      </c>
      <c r="BB17" s="283">
        <f>IF(AC17&gt;0,Standing!$C$26*0.2,0)</f>
        <v>0</v>
      </c>
      <c r="BC17" s="284">
        <f>IF(AC17&gt;0,Standing!$C$32*0.4,0)</f>
        <v>0</v>
      </c>
      <c r="BD17" s="280">
        <f>IF(AC17&gt;0,Standing!$C$32*0.6,0)</f>
        <v>0</v>
      </c>
      <c r="BE17" s="281">
        <f>IF(AC17&gt;0,Standing!$C$32*0.4,0)</f>
        <v>0</v>
      </c>
      <c r="BF17" s="282">
        <f>IF(AC17&gt;0,Standing!$C$32*0.5,0)</f>
        <v>0</v>
      </c>
      <c r="BG17" s="283">
        <f>IF(AC17&gt;0,Standing!$C$32*0.5,0)</f>
        <v>0</v>
      </c>
      <c r="BH17" s="284">
        <f>IF(AC17&gt;0,Standing!$C$32*0.4,0)</f>
        <v>0</v>
      </c>
      <c r="BI17" s="280">
        <f>IF(AC17&gt;0,Standing!$C$26*0.5,0)</f>
        <v>0</v>
      </c>
      <c r="BJ17" s="281">
        <f>IF(AC17&gt;0,Standing!$C$26*0.5,0)</f>
        <v>0</v>
      </c>
      <c r="BK17" s="282">
        <f>IF(AC17&gt;0,Standing!$C$26*0.6,0)</f>
        <v>0</v>
      </c>
      <c r="BL17" s="283">
        <f>IF(AC17&gt;0,Standing!$C$32,0)</f>
        <v>0</v>
      </c>
      <c r="BM17" s="281">
        <f>IF(AC17&gt;0,Standing!$C$32*0.85,0)</f>
        <v>0</v>
      </c>
      <c r="BN17" s="284">
        <f t="shared" si="2"/>
        <v>0</v>
      </c>
      <c r="BO17" s="282">
        <f>IF(AC17&gt;0,Standing!$C$32*0.45,0)</f>
        <v>0</v>
      </c>
      <c r="BP17" s="280">
        <f>IF(AC17&gt;0,Standing!$C$32*0.66,0)</f>
        <v>0</v>
      </c>
      <c r="BQ17" s="281">
        <f>IF(AC17&gt;0,Standing!$C$32*0.5,0)</f>
        <v>0</v>
      </c>
      <c r="BR17" s="282">
        <f>IF(AC17&gt;0,Standing!$C$32*0.4,0)</f>
        <v>0</v>
      </c>
      <c r="BS17" s="283">
        <f>IF(AC17&gt;0,Standing!$C$32*0.33,0)</f>
        <v>0</v>
      </c>
      <c r="BT17" s="284">
        <f>IF(AC17&gt;0,Standing!$C$32*0.3,0)</f>
        <v>0</v>
      </c>
      <c r="BU17" s="280">
        <f>IF(AC17&gt;0,Standing!$C$36,0)</f>
        <v>0</v>
      </c>
      <c r="BV17" s="281">
        <f>IF(AC17&gt;0,Standing!$C$36*0.66,0)</f>
        <v>0</v>
      </c>
      <c r="BW17" s="282">
        <f>IF(AC17&gt;0,Standing!$C$126*0.75,0)</f>
        <v>0</v>
      </c>
      <c r="BX17" s="283">
        <f>IF(AC17&gt;0,Standing!$C$126*0.33,0)</f>
        <v>0</v>
      </c>
      <c r="BY17" s="284">
        <f>IF(AC17&gt;0,Standing!$C$126*0.66,0)</f>
        <v>0</v>
      </c>
      <c r="BZ17" s="280">
        <f>IF(AC17&gt;0,Standing!$C$126*0.5,0)</f>
        <v>0</v>
      </c>
      <c r="CA17" s="281">
        <f>IF(AC17&gt;0,Standing!$C$132,0)</f>
        <v>0</v>
      </c>
      <c r="CB17" s="282">
        <f>IF(AC17&gt;0,Standing!$C$132*0.75,0)</f>
        <v>0</v>
      </c>
      <c r="CC17" s="283">
        <f>IF(AC17&gt;0,Standing!$C$132,0)</f>
        <v>0</v>
      </c>
      <c r="CD17" s="284">
        <f>IF(AC17&gt;0,Standing!$C$132*0.75,0)</f>
        <v>0</v>
      </c>
      <c r="CE17" s="280">
        <f>IF(AC17&gt;0,Standing!$C$132*0.5,0)</f>
        <v>0</v>
      </c>
      <c r="CF17" s="281">
        <f>IF(AC17&gt;0,Standing!$C$132*0.75,0)</f>
        <v>0</v>
      </c>
      <c r="CG17" s="282">
        <f>IF(AC17&gt;0,Standing!$C$132*0.66,0)</f>
        <v>0</v>
      </c>
      <c r="CH17" s="283">
        <f>IF(AC17&gt;0,Standing!$C$132*0.75,0)</f>
        <v>0</v>
      </c>
      <c r="CI17" s="284">
        <f>IF(AC17&gt;0,Standing!$C$132*0.66,0)</f>
        <v>0</v>
      </c>
      <c r="CJ17" s="280">
        <f>IF(AC17&gt;0,Standing!$C$132*0.66,0)</f>
        <v>0</v>
      </c>
      <c r="CK17" s="281">
        <f>IF(AC17&gt;0,Standing!$C$126,0)</f>
        <v>0</v>
      </c>
      <c r="CL17" s="282">
        <f>IF(AC17&gt;0,Standing!$C$126,0)</f>
        <v>0</v>
      </c>
      <c r="CM17" s="283">
        <f>IF(AC17&gt;0,Standing!$C$126,0)</f>
        <v>0</v>
      </c>
      <c r="CN17" s="284">
        <f>IF(AC17&gt;0,Standing!$C$126*0.66,0)</f>
        <v>0</v>
      </c>
      <c r="CO17" s="280">
        <f>IF(AC17&gt;0,Standing!$C$126*0.5,0)</f>
        <v>0</v>
      </c>
      <c r="CP17" s="281">
        <f>IF(AC17&gt;0,Standing!$C$26*0.33,0)</f>
        <v>0</v>
      </c>
      <c r="CQ17" s="282">
        <f>IF(AC17&gt;0,Standing!$C$26*0.2,0)</f>
        <v>0</v>
      </c>
      <c r="CR17" s="283">
        <f>IF(AC17&gt;0,Standing!$C$26*0.25,0)</f>
        <v>0</v>
      </c>
      <c r="CS17" s="285">
        <f>IF(AC17&gt;0,Standing!$C$26*0.2,0)</f>
        <v>0</v>
      </c>
      <c r="CT17" s="286"/>
      <c r="CU17" s="286" t="s">
        <v>27</v>
      </c>
    </row>
    <row r="18">
      <c r="A18" s="51"/>
      <c r="B18" s="290" t="s">
        <v>473</v>
      </c>
      <c r="C18" s="189">
        <f>IF(Standing!$C$26*0.25&gt;2,Standing!$C$26*0.25,2)</f>
        <v>2</v>
      </c>
      <c r="D18" s="218">
        <f t="shared" si="3"/>
        <v>0.6366182837</v>
      </c>
      <c r="E18" s="190">
        <f t="shared" si="4"/>
        <v>50.8</v>
      </c>
      <c r="F18" s="122">
        <f t="shared" si="5"/>
        <v>16.17010441</v>
      </c>
      <c r="G18" s="123">
        <f>C18/Introduction!$I$20</f>
        <v>0.02083333333</v>
      </c>
      <c r="H18" s="192">
        <f t="shared" si="6"/>
        <v>0.006631440455</v>
      </c>
      <c r="I18" s="124">
        <f>E18/Introduction!$I$20</f>
        <v>0.5291666667</v>
      </c>
      <c r="J18" s="125">
        <f t="shared" si="7"/>
        <v>0.1684385876</v>
      </c>
      <c r="K18" s="51"/>
      <c r="L18" s="51"/>
      <c r="M18" s="51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286"/>
      <c r="AB18" s="286" t="s">
        <v>28</v>
      </c>
      <c r="AC18" s="287">
        <f>IF('Ship Data Imperial'!E19&gt;0,'Ship Data Imperial'!E19,AD18)</f>
        <v>0</v>
      </c>
      <c r="AD18" s="287">
        <f>'Ship Data Metric'!E19*0.03280839895</f>
        <v>0</v>
      </c>
      <c r="AE18" s="284">
        <f>IF(AC18&gt;0,Standing!$C$75*0.65,0)</f>
        <v>0</v>
      </c>
      <c r="AF18" s="280">
        <f>IF(AC18&gt;0,Standing!$C$75*0.33,0)</f>
        <v>0</v>
      </c>
      <c r="AG18" s="281">
        <f>IF(AC18&gt;0,Standing!$C$75*0.2,0)</f>
        <v>0</v>
      </c>
      <c r="AH18" s="282">
        <f>IF(AC18&gt;0,Standing!$C$75*0.6,0)</f>
        <v>0</v>
      </c>
      <c r="AI18" s="283">
        <f>IF(AC18&gt;0,Standing!$C$75*0.2,0)</f>
        <v>0</v>
      </c>
      <c r="AJ18" s="284">
        <f>IF(AC18&gt;0,Standing!$C$75*0.25,0)</f>
        <v>0</v>
      </c>
      <c r="AK18" s="281">
        <f>IF(AC18&gt;0,Standing!$C$81*0.5,0)</f>
        <v>0</v>
      </c>
      <c r="AL18" s="282">
        <f t="shared" si="1"/>
        <v>0</v>
      </c>
      <c r="AM18" s="283">
        <f>IF(AC18&gt;0,Standing!$C$81*0.66,0)</f>
        <v>0</v>
      </c>
      <c r="AN18" s="284">
        <f>IF(AC18&gt;0,Standing!$C$81*0.45,0)</f>
        <v>0</v>
      </c>
      <c r="AO18" s="280">
        <f>IF(AC18&gt;0,Standing!$C$81*0.3,0)</f>
        <v>0</v>
      </c>
      <c r="AP18" s="281">
        <f>IF(AC18&gt;0,Standing!$C$81*0.9,0)</f>
        <v>0</v>
      </c>
      <c r="AQ18" s="282">
        <f>IF(AC18&gt;0,Standing!$C$85,0)</f>
        <v>0</v>
      </c>
      <c r="AR18" s="283">
        <f>IF(AC18&gt;0,Standing!$C$85*0.8,0)</f>
        <v>0</v>
      </c>
      <c r="AS18" s="284">
        <f>IF(AC18&gt;0,Standing!$C$85*0.66,0)</f>
        <v>0</v>
      </c>
      <c r="AT18" s="280">
        <f>IF(AC18&gt;0,Standing!$C$85*0.5,0)</f>
        <v>0</v>
      </c>
      <c r="AU18" s="281">
        <f>IF(AC18&gt;0,Standing!$C$75*0.25,0)</f>
        <v>0</v>
      </c>
      <c r="AV18" s="282">
        <f>IF(AC18&gt;0,Standing!$C$75*0.12,0)</f>
        <v>0</v>
      </c>
      <c r="AW18" s="283">
        <f>IF(AC18&gt;0,Standing!$C$26*0.4,0)</f>
        <v>0</v>
      </c>
      <c r="AX18" s="284">
        <f>IF(AC18&gt;0,Standing!$C$26*0.4,0)</f>
        <v>0</v>
      </c>
      <c r="AY18" s="280">
        <f>IF(AC18&gt;0,Standing!$C$26*0.2,0)</f>
        <v>0</v>
      </c>
      <c r="AZ18" s="281">
        <f>IF(AC18&gt;0,Standing!$C$26*0.4,0)</f>
        <v>0</v>
      </c>
      <c r="BA18" s="282">
        <f>IF(AC18&gt;0,Standing!$C$26*0.2,0)</f>
        <v>0</v>
      </c>
      <c r="BB18" s="283">
        <f>IF(AC18&gt;0,Standing!$C$26*0.2,0)</f>
        <v>0</v>
      </c>
      <c r="BC18" s="284">
        <f>IF(AC18&gt;0,Standing!$C$32*0.4,0)</f>
        <v>0</v>
      </c>
      <c r="BD18" s="280">
        <f>IF(AC18&gt;0,Standing!$C$32*0.6,0)</f>
        <v>0</v>
      </c>
      <c r="BE18" s="281">
        <f>IF(AC18&gt;0,Standing!$C$32*0.4,0)</f>
        <v>0</v>
      </c>
      <c r="BF18" s="282">
        <f>IF(AC18&gt;0,Standing!$C$32*0.5,0)</f>
        <v>0</v>
      </c>
      <c r="BG18" s="283">
        <f>IF(AC18&gt;0,Standing!$C$32*0.5,0)</f>
        <v>0</v>
      </c>
      <c r="BH18" s="284">
        <f>IF(AC18&gt;0,Standing!$C$32*0.4,0)</f>
        <v>0</v>
      </c>
      <c r="BI18" s="280">
        <f>IF(AC18&gt;0,Standing!$C$26*0.75,0)</f>
        <v>0</v>
      </c>
      <c r="BJ18" s="281">
        <f>IF(AC18&gt;0,Standing!$C$26*0.5,0)</f>
        <v>0</v>
      </c>
      <c r="BK18" s="282">
        <f>IF(AC18&gt;0,Standing!$C$26*0.6,0)</f>
        <v>0</v>
      </c>
      <c r="BL18" s="283">
        <f>IF(AC18&gt;0,Standing!$C$32,0)</f>
        <v>0</v>
      </c>
      <c r="BM18" s="281">
        <f>IF(AC18&gt;0,Standing!$C$32*0.85,0)</f>
        <v>0</v>
      </c>
      <c r="BN18" s="284">
        <f t="shared" si="2"/>
        <v>0</v>
      </c>
      <c r="BO18" s="282">
        <f>IF(AC18&gt;0,Standing!$C$32*0.45,0)</f>
        <v>0</v>
      </c>
      <c r="BP18" s="280">
        <f>IF(AC18&gt;0,Standing!$C$32*0.66,0)</f>
        <v>0</v>
      </c>
      <c r="BQ18" s="281">
        <f>IF(AC18&gt;0,Standing!$C$32*0.5,0)</f>
        <v>0</v>
      </c>
      <c r="BR18" s="282">
        <f>IF(AC18&gt;0,Standing!$C$32*0.4,0)</f>
        <v>0</v>
      </c>
      <c r="BS18" s="283">
        <f>IF(AC18&gt;0,Standing!$C$32*0.33,0)</f>
        <v>0</v>
      </c>
      <c r="BT18" s="284">
        <f>IF(AC18&gt;0,Standing!$C$32*0.3,0)</f>
        <v>0</v>
      </c>
      <c r="BU18" s="280">
        <f>IF(AC18&gt;0,Standing!$C$36,0)</f>
        <v>0</v>
      </c>
      <c r="BV18" s="281">
        <f>IF(AC18&gt;0,Standing!$C$36*0.66,0)</f>
        <v>0</v>
      </c>
      <c r="BW18" s="282">
        <f>IF(AC18&gt;0,Standing!$C$126*0.75,0)</f>
        <v>0</v>
      </c>
      <c r="BX18" s="283">
        <f>IF(AC18&gt;0,Standing!$C$126*0.33,0)</f>
        <v>0</v>
      </c>
      <c r="BY18" s="284">
        <f>IF(AC18&gt;0,Standing!$C$126*0.66,0)</f>
        <v>0</v>
      </c>
      <c r="BZ18" s="280">
        <f>IF(AC18&gt;0,Standing!$C$126*0.5,0)</f>
        <v>0</v>
      </c>
      <c r="CA18" s="281">
        <f>IF(AC18&gt;0,Standing!$C$132,0)</f>
        <v>0</v>
      </c>
      <c r="CB18" s="282">
        <f>IF(AC18&gt;0,Standing!$C$132*0.75,0)</f>
        <v>0</v>
      </c>
      <c r="CC18" s="283">
        <f>IF(AC18&gt;0,Standing!$C$132,0)</f>
        <v>0</v>
      </c>
      <c r="CD18" s="284">
        <f>IF(AC18&gt;0,Standing!$C$132*0.75,0)</f>
        <v>0</v>
      </c>
      <c r="CE18" s="280">
        <f>IF(AC18&gt;0,Standing!$C$132*0.5,0)</f>
        <v>0</v>
      </c>
      <c r="CF18" s="281">
        <f>IF(AC18&gt;0,Standing!$C$132*0.75,0)</f>
        <v>0</v>
      </c>
      <c r="CG18" s="282">
        <f>IF(AC18&gt;0,Standing!$C$132*0.66,0)</f>
        <v>0</v>
      </c>
      <c r="CH18" s="283">
        <f>IF(AC18&gt;0,Standing!$C$132*0.75,0)</f>
        <v>0</v>
      </c>
      <c r="CI18" s="284">
        <f>IF(AC18&gt;0,Standing!$C$132*0.66,0)</f>
        <v>0</v>
      </c>
      <c r="CJ18" s="280">
        <f>IF(AC18&gt;0,Standing!$C$132*0.66,0)</f>
        <v>0</v>
      </c>
      <c r="CK18" s="281">
        <f>IF(AC18&gt;0,Standing!$C$126,0)</f>
        <v>0</v>
      </c>
      <c r="CL18" s="282">
        <f>IF(AC18&gt;0,Standing!$C$126,0)</f>
        <v>0</v>
      </c>
      <c r="CM18" s="283">
        <f>IF(AC18&gt;0,Standing!$C$126,0)</f>
        <v>0</v>
      </c>
      <c r="CN18" s="284">
        <f>IF(AC18&gt;0,Standing!$C$126*0.66,0)</f>
        <v>0</v>
      </c>
      <c r="CO18" s="280">
        <f>IF(AC18&gt;0,Standing!$C$126*0.5,0)</f>
        <v>0</v>
      </c>
      <c r="CP18" s="281">
        <f>IF(AC18&gt;0,Standing!$C$26*0.33,0)</f>
        <v>0</v>
      </c>
      <c r="CQ18" s="282">
        <f>IF(AC18&gt;0,Standing!$C$26*0.2,0)</f>
        <v>0</v>
      </c>
      <c r="CR18" s="283">
        <f>IF(AC18&gt;0,Standing!$C$26*0.25,0)</f>
        <v>0</v>
      </c>
      <c r="CS18" s="285">
        <f>IF(AC18&gt;0,Standing!$C$26*0.2,0)</f>
        <v>0</v>
      </c>
      <c r="CT18" s="286"/>
      <c r="CU18" s="286" t="s">
        <v>28</v>
      </c>
    </row>
    <row r="19">
      <c r="A19" s="51"/>
      <c r="B19" s="290" t="s">
        <v>474</v>
      </c>
      <c r="C19" s="189">
        <f>IF(Standing!$C$26*0.25&gt;2,Standing!$C$26*0.25,2)</f>
        <v>2</v>
      </c>
      <c r="D19" s="218">
        <f t="shared" si="3"/>
        <v>0.6366182837</v>
      </c>
      <c r="E19" s="190">
        <f t="shared" si="4"/>
        <v>50.8</v>
      </c>
      <c r="F19" s="122">
        <f t="shared" si="5"/>
        <v>16.17010441</v>
      </c>
      <c r="G19" s="123">
        <f>C19/Introduction!$I$20</f>
        <v>0.02083333333</v>
      </c>
      <c r="H19" s="192">
        <f t="shared" si="6"/>
        <v>0.006631440455</v>
      </c>
      <c r="I19" s="124">
        <f>E19/Introduction!$I$20</f>
        <v>0.5291666667</v>
      </c>
      <c r="J19" s="125">
        <f t="shared" si="7"/>
        <v>0.1684385876</v>
      </c>
      <c r="K19" s="51"/>
      <c r="L19" s="51"/>
      <c r="M19" s="51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286"/>
      <c r="AB19" s="286" t="s">
        <v>29</v>
      </c>
      <c r="AC19" s="287">
        <f>IF('Ship Data Imperial'!E20&gt;0,'Ship Data Imperial'!E20,AD19)</f>
        <v>0</v>
      </c>
      <c r="AD19" s="287">
        <f>'Ship Data Metric'!E20*0.03280839895</f>
        <v>0</v>
      </c>
      <c r="AE19" s="284">
        <f>IF(AC19&gt;0,Standing!$C$75*0.65,0)</f>
        <v>0</v>
      </c>
      <c r="AF19" s="280">
        <f>IF(AC19&gt;0,Standing!$C$75*0.33,0)</f>
        <v>0</v>
      </c>
      <c r="AG19" s="281">
        <f>IF(AC19&gt;0,Standing!$C$75*0.2,0)</f>
        <v>0</v>
      </c>
      <c r="AH19" s="282">
        <f>IF(AC19&gt;0,Standing!$C$75*0.6,0)</f>
        <v>0</v>
      </c>
      <c r="AI19" s="283">
        <f>IF(AC19&gt;0,Standing!$C$75*0.2,0)</f>
        <v>0</v>
      </c>
      <c r="AJ19" s="284">
        <f>IF(AC19&gt;0,Standing!$C$75*0.25,0)</f>
        <v>0</v>
      </c>
      <c r="AK19" s="281">
        <f>IF(AC19&gt;0,Standing!$C$81*0.5,0)</f>
        <v>0</v>
      </c>
      <c r="AL19" s="282">
        <f t="shared" si="1"/>
        <v>0</v>
      </c>
      <c r="AM19" s="283">
        <f>IF(AC19&gt;0,Standing!$C$81*0.66,0)</f>
        <v>0</v>
      </c>
      <c r="AN19" s="284">
        <f>IF(AC19&gt;0,Standing!$C$81*0.45,0)</f>
        <v>0</v>
      </c>
      <c r="AO19" s="280">
        <f>IF(AC19&gt;0,Standing!$C$81*0.3,0)</f>
        <v>0</v>
      </c>
      <c r="AP19" s="281">
        <f>IF(AC19&gt;0,Standing!$C$81*0.9,0)</f>
        <v>0</v>
      </c>
      <c r="AQ19" s="282">
        <f>IF(AC19&gt;0,Standing!$C$85,0)</f>
        <v>0</v>
      </c>
      <c r="AR19" s="283">
        <f>IF(AC19&gt;0,Standing!$C$85*0.8,0)</f>
        <v>0</v>
      </c>
      <c r="AS19" s="284">
        <f>IF(AC19&gt;0,Standing!$C$85*0.66,0)</f>
        <v>0</v>
      </c>
      <c r="AT19" s="280">
        <f>IF(AC19&gt;0,Standing!$C$85*0.5,0)</f>
        <v>0</v>
      </c>
      <c r="AU19" s="281">
        <f>IF(AC19&gt;0,Standing!$C$75*0.25,0)</f>
        <v>0</v>
      </c>
      <c r="AV19" s="282">
        <f>IF(AC19&gt;0,Standing!$C$75*0.12,0)</f>
        <v>0</v>
      </c>
      <c r="AW19" s="283">
        <f>IF(AC19&gt;0,Standing!$C$26*0.4,0)</f>
        <v>0</v>
      </c>
      <c r="AX19" s="284">
        <f>IF(AC19&gt;0,Standing!$C$26*0.4,0)</f>
        <v>0</v>
      </c>
      <c r="AY19" s="280">
        <f>IF(AC19&gt;0,Standing!$C$26*0.2,0)</f>
        <v>0</v>
      </c>
      <c r="AZ19" s="281">
        <f>IF(AC19&gt;0,Standing!$C$26*0.4,0)</f>
        <v>0</v>
      </c>
      <c r="BA19" s="282">
        <f>IF(AC19&gt;0,Standing!$C$26*0.2,0)</f>
        <v>0</v>
      </c>
      <c r="BB19" s="283">
        <f>IF(AC19&gt;0,Standing!$C$26*0.2,0)</f>
        <v>0</v>
      </c>
      <c r="BC19" s="284">
        <f>IF(AC19&gt;0,Standing!$C$32*0.4,0)</f>
        <v>0</v>
      </c>
      <c r="BD19" s="280">
        <f>IF(AC19&gt;0,Standing!$C$32*0.6,0)</f>
        <v>0</v>
      </c>
      <c r="BE19" s="281">
        <f>IF(AC19&gt;0,Standing!$C$32*0.4,0)</f>
        <v>0</v>
      </c>
      <c r="BF19" s="282">
        <f>IF(AC19&gt;0,Standing!$C$32*0.5,0)</f>
        <v>0</v>
      </c>
      <c r="BG19" s="283">
        <f>IF(AC19&gt;0,Standing!$C$32*0.5,0)</f>
        <v>0</v>
      </c>
      <c r="BH19" s="284">
        <f>IF(AC19&gt;0,Standing!$C$32*0.4,0)</f>
        <v>0</v>
      </c>
      <c r="BI19" s="280">
        <f>IF(AC19&gt;0,Standing!$C$26*0.75,0)</f>
        <v>0</v>
      </c>
      <c r="BJ19" s="281">
        <f>IF(AC19&gt;0,Standing!$C$26*0.5,0)</f>
        <v>0</v>
      </c>
      <c r="BK19" s="282">
        <f>IF(AC19&gt;0,Standing!$C$26*0.6,0)</f>
        <v>0</v>
      </c>
      <c r="BL19" s="283">
        <f>IF(AC19&gt;0,Standing!$C$32,0)</f>
        <v>0</v>
      </c>
      <c r="BM19" s="281">
        <f>IF(AC19&gt;0,Standing!$C$32*0.85,0)</f>
        <v>0</v>
      </c>
      <c r="BN19" s="284">
        <f t="shared" si="2"/>
        <v>0</v>
      </c>
      <c r="BO19" s="282">
        <f>IF(AC19&gt;0,Standing!$C$32*0.45,0)</f>
        <v>0</v>
      </c>
      <c r="BP19" s="280">
        <f>IF(AC19&gt;0,Standing!$C$32*0.66,0)</f>
        <v>0</v>
      </c>
      <c r="BQ19" s="281">
        <f>IF(AC19&gt;0,Standing!$C$32*0.5,0)</f>
        <v>0</v>
      </c>
      <c r="BR19" s="282">
        <f>IF(AC19&gt;0,Standing!$C$32*0.4,0)</f>
        <v>0</v>
      </c>
      <c r="BS19" s="283">
        <f>IF(AC19&gt;0,Standing!$C$32*0.375,0)</f>
        <v>0</v>
      </c>
      <c r="BT19" s="284">
        <f>IF(AC19&gt;0,Standing!$C$32*0.3,0)</f>
        <v>0</v>
      </c>
      <c r="BU19" s="280">
        <f>IF(AC19&gt;0,Standing!$C$36,0)</f>
        <v>0</v>
      </c>
      <c r="BV19" s="281">
        <f>IF(AC19&gt;0,Standing!$C$36*0.66,0)</f>
        <v>0</v>
      </c>
      <c r="BW19" s="282">
        <f>IF(AC19&gt;0,Standing!$C$126*0.75,0)</f>
        <v>0</v>
      </c>
      <c r="BX19" s="283">
        <f>IF(AC19&gt;0,Standing!$C$126*0.33,0)</f>
        <v>0</v>
      </c>
      <c r="BY19" s="284">
        <f>IF(AC19&gt;0,Standing!$C$126*0.66,0)</f>
        <v>0</v>
      </c>
      <c r="BZ19" s="280">
        <f>IF(AC19&gt;0,Standing!$C$126*0.5,0)</f>
        <v>0</v>
      </c>
      <c r="CA19" s="281">
        <f>IF(AC19&gt;0,Standing!$C$132,0)</f>
        <v>0</v>
      </c>
      <c r="CB19" s="282">
        <f>IF(AC19&gt;0,Standing!$C$132*0.75,0)</f>
        <v>0</v>
      </c>
      <c r="CC19" s="283">
        <f>IF(AC19&gt;0,Standing!$C$132,0)</f>
        <v>0</v>
      </c>
      <c r="CD19" s="284">
        <f>IF(AC19&gt;0,Standing!$C$132*0.75,0)</f>
        <v>0</v>
      </c>
      <c r="CE19" s="280">
        <f>IF(AC19&gt;0,Standing!$C$132*0.5,0)</f>
        <v>0</v>
      </c>
      <c r="CF19" s="281">
        <f>IF(AC19&gt;0,Standing!$C$132*0.75,0)</f>
        <v>0</v>
      </c>
      <c r="CG19" s="282">
        <f>IF(AC19&gt;0,Standing!$C$132*0.66,0)</f>
        <v>0</v>
      </c>
      <c r="CH19" s="283">
        <f>IF(AC19&gt;0,Standing!$C$132*0.75,0)</f>
        <v>0</v>
      </c>
      <c r="CI19" s="284">
        <f>IF(AC19&gt;0,Standing!$C$132*0.66,0)</f>
        <v>0</v>
      </c>
      <c r="CJ19" s="280">
        <f>IF(AC19&gt;0,Standing!$C$132*0.66,0)</f>
        <v>0</v>
      </c>
      <c r="CK19" s="281">
        <f>IF(AC19&gt;0,Standing!$C$126,0)</f>
        <v>0</v>
      </c>
      <c r="CL19" s="282">
        <f>IF(AC19&gt;0,Standing!$C$126,0)</f>
        <v>0</v>
      </c>
      <c r="CM19" s="283">
        <f>IF(AC19&gt;0,Standing!$C$126,0)</f>
        <v>0</v>
      </c>
      <c r="CN19" s="284">
        <f>IF(AC19&gt;0,Standing!$C$126*0.66,0)</f>
        <v>0</v>
      </c>
      <c r="CO19" s="280">
        <f>IF(AC19&gt;0,Standing!$C$126*0.5,0)</f>
        <v>0</v>
      </c>
      <c r="CP19" s="281">
        <f>IF(AC19&gt;0,Standing!$C$26*0.33,0)</f>
        <v>0</v>
      </c>
      <c r="CQ19" s="282">
        <f>IF(AC19&gt;0,Standing!$C$26*0.2,0)</f>
        <v>0</v>
      </c>
      <c r="CR19" s="283">
        <f>IF(AC19&gt;0,Standing!$C$26*0.25,0)</f>
        <v>0</v>
      </c>
      <c r="CS19" s="285">
        <f>IF(AC19&gt;0,Standing!$C$26*0.2,0)</f>
        <v>0</v>
      </c>
      <c r="CT19" s="286"/>
      <c r="CU19" s="286" t="s">
        <v>29</v>
      </c>
    </row>
    <row r="20">
      <c r="A20" s="51"/>
      <c r="B20" s="290" t="s">
        <v>475</v>
      </c>
      <c r="C20" s="189">
        <f>IF(Standing!$C$26*0.1&gt;1,Standing!$C$26*0.1,1)</f>
        <v>1</v>
      </c>
      <c r="D20" s="218">
        <f t="shared" si="3"/>
        <v>0.3183091418</v>
      </c>
      <c r="E20" s="190">
        <f t="shared" si="4"/>
        <v>25.4</v>
      </c>
      <c r="F20" s="122">
        <f t="shared" si="5"/>
        <v>8.085052203</v>
      </c>
      <c r="G20" s="123">
        <f>C20/Introduction!$I$20</f>
        <v>0.01041666667</v>
      </c>
      <c r="H20" s="192">
        <f t="shared" si="6"/>
        <v>0.003315720227</v>
      </c>
      <c r="I20" s="124">
        <f>E20/Introduction!$I$20</f>
        <v>0.2645833333</v>
      </c>
      <c r="J20" s="125">
        <f t="shared" si="7"/>
        <v>0.08421929378</v>
      </c>
      <c r="K20" s="51"/>
      <c r="L20" s="51"/>
      <c r="M20" s="51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286" t="s">
        <v>32</v>
      </c>
      <c r="AB20" s="286" t="s">
        <v>24</v>
      </c>
      <c r="AC20" s="287">
        <f>IF('Ship Data Imperial'!E21&gt;0,'Ship Data Imperial'!E21,AD20)</f>
        <v>0</v>
      </c>
      <c r="AD20" s="287">
        <f>'Ship Data Metric'!E21*0.03280839895</f>
        <v>0</v>
      </c>
      <c r="AE20" s="284">
        <f>IF(AC20&gt;0,Standing!$C$75*0.45,0)</f>
        <v>0</v>
      </c>
      <c r="AF20" s="280">
        <f>IF(AC20&gt;0,Standing!$C$75*0.25,0)</f>
        <v>0</v>
      </c>
      <c r="AG20" s="281">
        <f>IF(AC20&gt;0,Standing!$C$75*0.165,0)</f>
        <v>0</v>
      </c>
      <c r="AH20" s="282">
        <f>IF(AC20&gt;0,Standing!$C$75*0.5,0)</f>
        <v>0</v>
      </c>
      <c r="AI20" s="283">
        <f>IF(AC20&gt;0,Standing!$C$75*0.16,0)</f>
        <v>0</v>
      </c>
      <c r="AJ20" s="284">
        <f>IF(AC20&gt;0,Standing!$C$75*0.2,0)</f>
        <v>0</v>
      </c>
      <c r="AK20" s="281">
        <f>IF(AC20&gt;0,Standing!$C$81*0.5,0)</f>
        <v>0</v>
      </c>
      <c r="AL20" s="282">
        <f t="shared" si="1"/>
        <v>0</v>
      </c>
      <c r="AM20" s="283">
        <f>IF(AC20&gt;0,Standing!$C$81*0.5,0)</f>
        <v>0</v>
      </c>
      <c r="AN20" s="284">
        <f>IF(AC20&gt;0,Standing!$C$81*0.45,0)</f>
        <v>0</v>
      </c>
      <c r="AO20" s="280">
        <f>IF(AC20&gt;0,Standing!$C$81*0.3,0)</f>
        <v>0</v>
      </c>
      <c r="AP20" s="281">
        <f>IF(AC20&gt;0,Standing!$C$81,0)</f>
        <v>0</v>
      </c>
      <c r="AQ20" s="282">
        <f>IF(AC20&gt;0,Standing!$C$85,0)</f>
        <v>0</v>
      </c>
      <c r="AR20" s="283">
        <f>IF(AC20&gt;0,Standing!$C$85*0.8,0)</f>
        <v>0</v>
      </c>
      <c r="AS20" s="284">
        <f>IF(AC20&gt;0,Standing!$C$85*0.66,0)</f>
        <v>0</v>
      </c>
      <c r="AT20" s="280">
        <f>IF(AC20&gt;0,Standing!$C$85*0.5,0)</f>
        <v>0</v>
      </c>
      <c r="AU20" s="281">
        <f>IF(AC20&gt;0,Standing!$C$75*0.2,0)</f>
        <v>0</v>
      </c>
      <c r="AV20" s="282">
        <f>IF(AC20&gt;0,Standing!$C$75*0.12,0)</f>
        <v>0</v>
      </c>
      <c r="AW20" s="283">
        <f>IF(AC20&gt;0,Standing!$C$26*0.4,0)</f>
        <v>0</v>
      </c>
      <c r="AX20" s="284">
        <f>IF(AC20&gt;0,Standing!$C$26*0.4,0)</f>
        <v>0</v>
      </c>
      <c r="AY20" s="280">
        <f>IF(AC20&gt;0,Standing!$C$26*0.2,0)</f>
        <v>0</v>
      </c>
      <c r="AZ20" s="281">
        <f>IF(AC20&gt;0,Standing!$C$26*0.33,0)</f>
        <v>0</v>
      </c>
      <c r="BA20" s="282">
        <f>IF(AC20&gt;0,Standing!$C$26*0.2,0)</f>
        <v>0</v>
      </c>
      <c r="BB20" s="283">
        <f>IF(AC20&gt;0,Standing!$C$26*0.2,0)</f>
        <v>0</v>
      </c>
      <c r="BC20" s="284">
        <f>IF(AC20&gt;0,Standing!$C$32*0.4,0)</f>
        <v>0</v>
      </c>
      <c r="BD20" s="280">
        <f>IF(AC20&gt;0,Standing!$C$32*0.5,0)</f>
        <v>0</v>
      </c>
      <c r="BE20" s="281">
        <f>IF(AC20&gt;0,Standing!$C$32*0.33,0)</f>
        <v>0</v>
      </c>
      <c r="BF20" s="282">
        <f>IF(AC20&gt;0,Standing!$C$32*0.33,0)</f>
        <v>0</v>
      </c>
      <c r="BG20" s="283">
        <f>IF(AC20&gt;0,Standing!$C$32*0.33,0)</f>
        <v>0</v>
      </c>
      <c r="BH20" s="284">
        <f>IF(AC20&gt;0,Standing!$C$32*0.33,0)</f>
        <v>0</v>
      </c>
      <c r="BI20" s="280">
        <f>IF(AC20&gt;0,Standing!$C$26*0.5,0)</f>
        <v>0</v>
      </c>
      <c r="BJ20" s="281">
        <f>IF(AC20&gt;0,Standing!$C$26*0.5,0)</f>
        <v>0</v>
      </c>
      <c r="BK20" s="282">
        <f>IF(AC20&gt;0,Standing!$C$26*0.5,0)</f>
        <v>0</v>
      </c>
      <c r="BL20" s="283">
        <f>IF(AC20&gt;0,Standing!$C$32,0)</f>
        <v>0</v>
      </c>
      <c r="BM20" s="281">
        <f>IF(AC20&gt;0,Standing!$C$32*0.9,0)</f>
        <v>0</v>
      </c>
      <c r="BN20" s="284">
        <f t="shared" si="2"/>
        <v>0</v>
      </c>
      <c r="BO20" s="282">
        <f>IF(AC20&gt;0,Standing!$C$32*0.5,0)</f>
        <v>0</v>
      </c>
      <c r="BP20" s="280">
        <f>IF(AC20&gt;0,Standing!$C$32*0.5,0)</f>
        <v>0</v>
      </c>
      <c r="BQ20" s="281">
        <f>IF(AC20&gt;0,Standing!$C$32*0.5,0)</f>
        <v>0</v>
      </c>
      <c r="BR20" s="282">
        <f>IF(AC20&gt;0,Standing!$C$32*0.4,0)</f>
        <v>0</v>
      </c>
      <c r="BS20" s="283">
        <f>IF(AC20&gt;0,Standing!$C$32*0.33,0)</f>
        <v>0</v>
      </c>
      <c r="BT20" s="284">
        <f>IF(AC20&gt;0,Standing!$C$32*0.3,0)</f>
        <v>0</v>
      </c>
      <c r="BU20" s="280">
        <f>IF(AC20&gt;0,Standing!$C$36,0)</f>
        <v>0</v>
      </c>
      <c r="BV20" s="281">
        <f>IF(AC20&gt;0,Standing!$C$36*0.66,0)</f>
        <v>0</v>
      </c>
      <c r="BW20" s="282">
        <f>IF(AC20&gt;0,Standing!$C$126*0.75,0)</f>
        <v>0</v>
      </c>
      <c r="BX20" s="283">
        <f>IF(AC20&gt;0,Standing!$C$126*0.66,0)</f>
        <v>0</v>
      </c>
      <c r="BY20" s="284">
        <f>IF(AC20&gt;0,Standing!$C$126*0.66,0)</f>
        <v>0</v>
      </c>
      <c r="BZ20" s="280">
        <f>IF(AC20&gt;0,Standing!$C$126*0.375,0)</f>
        <v>0</v>
      </c>
      <c r="CA20" s="281">
        <f>IF(AC20&gt;0,Standing!$C$132,0)</f>
        <v>0</v>
      </c>
      <c r="CB20" s="282">
        <f>IF(AC20&gt;0,Standing!$C$132*0.75,0)</f>
        <v>0</v>
      </c>
      <c r="CC20" s="283">
        <f>IF(AC20&gt;0,Standing!$C$132,0)</f>
        <v>0</v>
      </c>
      <c r="CD20" s="284">
        <f>IF(AC20&gt;0,Standing!$C$132*0.66,0)</f>
        <v>0</v>
      </c>
      <c r="CE20" s="280">
        <f>IF(AC20&gt;0,Standing!$C$132*0.4,0)</f>
        <v>0</v>
      </c>
      <c r="CF20" s="281">
        <f>IF(AC20&gt;0,Standing!$C$132*0.75,0)</f>
        <v>0</v>
      </c>
      <c r="CG20" s="282">
        <f>IF(AC20&gt;0,Standing!$C$132*0.66,0)</f>
        <v>0</v>
      </c>
      <c r="CH20" s="283">
        <f>IF(AC20&gt;0,Standing!$C$132*0.75,0)</f>
        <v>0</v>
      </c>
      <c r="CI20" s="284">
        <f>IF(AC20&gt;0,Standing!$C$132*0.66,0)</f>
        <v>0</v>
      </c>
      <c r="CJ20" s="280">
        <f>IF(AC20&gt;0,Standing!$C$132*0.66,0)</f>
        <v>0</v>
      </c>
      <c r="CK20" s="281">
        <f>IF(AC20&gt;0,Standing!$C$126*0.75,0)</f>
        <v>0</v>
      </c>
      <c r="CL20" s="282">
        <f>IF(AC20&gt;0,Standing!$C$126,0)</f>
        <v>0</v>
      </c>
      <c r="CM20" s="283">
        <f>IF(AC20&gt;0,Standing!$C$126,0)</f>
        <v>0</v>
      </c>
      <c r="CN20" s="284">
        <f>IF(AC20&gt;0,Standing!$C$126*0.66,0)</f>
        <v>0</v>
      </c>
      <c r="CO20" s="280">
        <f>IF(AC20&gt;0,Standing!$C$126*0.4,0)</f>
        <v>0</v>
      </c>
      <c r="CP20" s="281">
        <f>IF(AC20&gt;0,Standing!$C$26*0.25,0)</f>
        <v>0</v>
      </c>
      <c r="CQ20" s="282">
        <f>IF(AC20&gt;0,Standing!$C$26*0.165,0)</f>
        <v>0</v>
      </c>
      <c r="CR20" s="283">
        <f>IF(AC20&gt;0,Standing!$C$26*0.2,0)</f>
        <v>0</v>
      </c>
      <c r="CS20" s="285">
        <f>IF(AC20&gt;0,Standing!$C$26*0.16,0)</f>
        <v>0</v>
      </c>
      <c r="CT20" s="286" t="s">
        <v>32</v>
      </c>
      <c r="CU20" s="286" t="s">
        <v>24</v>
      </c>
    </row>
    <row r="21" ht="15.75" customHeight="1">
      <c r="A21" s="51"/>
      <c r="B21" s="290" t="s">
        <v>476</v>
      </c>
      <c r="C21" s="119">
        <f>IF(BB136&gt;1,BB136,1)</f>
        <v>1</v>
      </c>
      <c r="D21" s="218">
        <f t="shared" si="3"/>
        <v>0.3183091418</v>
      </c>
      <c r="E21" s="190">
        <f t="shared" si="4"/>
        <v>25.4</v>
      </c>
      <c r="F21" s="122">
        <f t="shared" si="5"/>
        <v>8.085052203</v>
      </c>
      <c r="G21" s="123">
        <f>C21/Introduction!$I$20</f>
        <v>0.01041666667</v>
      </c>
      <c r="H21" s="192">
        <f t="shared" si="6"/>
        <v>0.003315720227</v>
      </c>
      <c r="I21" s="124">
        <f>E21/Introduction!$I$20</f>
        <v>0.2645833333</v>
      </c>
      <c r="J21" s="125">
        <f t="shared" si="7"/>
        <v>0.08421929378</v>
      </c>
      <c r="K21" s="51"/>
      <c r="L21" s="51"/>
      <c r="M21" s="51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286"/>
      <c r="AB21" s="286" t="s">
        <v>25</v>
      </c>
      <c r="AC21" s="287">
        <f>IF('Ship Data Imperial'!E22&gt;0,'Ship Data Imperial'!E22,AD21)</f>
        <v>0</v>
      </c>
      <c r="AD21" s="287">
        <f>'Ship Data Metric'!E22*0.03280839895</f>
        <v>0</v>
      </c>
      <c r="AE21" s="284">
        <f>IF(AC21&gt;0,Standing!$C$75*0.45,0)</f>
        <v>0</v>
      </c>
      <c r="AF21" s="280">
        <f>IF(AC21&gt;0,Standing!$C$75*0.25,0)</f>
        <v>0</v>
      </c>
      <c r="AG21" s="281">
        <f>IF(AC21&gt;0,Standing!$C$75*0.165,0)</f>
        <v>0</v>
      </c>
      <c r="AH21" s="282">
        <f>IF(AC21&gt;0,Standing!$C$75*0.5,0)</f>
        <v>0</v>
      </c>
      <c r="AI21" s="283">
        <f>IF(AC21&gt;0,Standing!$C$75*0.16,0)</f>
        <v>0</v>
      </c>
      <c r="AJ21" s="284">
        <f>IF(AC21&gt;0,Standing!$C$75*0.2,0)</f>
        <v>0</v>
      </c>
      <c r="AK21" s="281">
        <f>IF(AC21&gt;0,Standing!$C$81*0.5,0)</f>
        <v>0</v>
      </c>
      <c r="AL21" s="282">
        <f t="shared" si="1"/>
        <v>0</v>
      </c>
      <c r="AM21" s="283">
        <f>IF(AC21&gt;0,Standing!$C$81*0.5,0)</f>
        <v>0</v>
      </c>
      <c r="AN21" s="284">
        <f>IF(AC21&gt;0,Standing!$C$81*0.45,0)</f>
        <v>0</v>
      </c>
      <c r="AO21" s="280">
        <f>IF(AC21&gt;0,Standing!$C$81*0.3,0)</f>
        <v>0</v>
      </c>
      <c r="AP21" s="281">
        <f>IF(AC21&gt;0,Standing!$C$81,0)</f>
        <v>0</v>
      </c>
      <c r="AQ21" s="282">
        <f>IF(AC21&gt;0,Standing!$C$85,0)</f>
        <v>0</v>
      </c>
      <c r="AR21" s="283">
        <f>IF(AC21&gt;0,Standing!$C$85*0.8,0)</f>
        <v>0</v>
      </c>
      <c r="AS21" s="284">
        <f>IF(AC21&gt;0,Standing!$C$85*0.66,0)</f>
        <v>0</v>
      </c>
      <c r="AT21" s="280">
        <f>IF(AC21&gt;0,Standing!$C$85*0.5,0)</f>
        <v>0</v>
      </c>
      <c r="AU21" s="281">
        <f>IF(AC21&gt;0,Standing!$C$75*0.2,0)</f>
        <v>0</v>
      </c>
      <c r="AV21" s="282">
        <f>IF(AC21&gt;0,Standing!$C$75*0.12,0)</f>
        <v>0</v>
      </c>
      <c r="AW21" s="283">
        <f>IF(AC21&gt;0,Standing!$C$26*0.4,0)</f>
        <v>0</v>
      </c>
      <c r="AX21" s="284">
        <f>IF(AC21&gt;0,Standing!$C$26*0.4,0)</f>
        <v>0</v>
      </c>
      <c r="AY21" s="280">
        <f>IF(AC21&gt;0,Standing!$C$26*0.2,0)</f>
        <v>0</v>
      </c>
      <c r="AZ21" s="281">
        <f>IF(AC21&gt;0,Standing!$C$26*0.33,0)</f>
        <v>0</v>
      </c>
      <c r="BA21" s="282">
        <f>IF(AC21&gt;0,Standing!$C$26*0.2,0)</f>
        <v>0</v>
      </c>
      <c r="BB21" s="283">
        <f>IF(AC21&gt;0,Standing!$C$26*0.2,0)</f>
        <v>0</v>
      </c>
      <c r="BC21" s="284">
        <f>IF(AC21&gt;0,Standing!$C$32*0.4,0)</f>
        <v>0</v>
      </c>
      <c r="BD21" s="280">
        <f>IF(AC21&gt;0,Standing!$C$32*0.5,0)</f>
        <v>0</v>
      </c>
      <c r="BE21" s="281">
        <f>IF(AC21&gt;0,Standing!$C$32*0.33,0)</f>
        <v>0</v>
      </c>
      <c r="BF21" s="282">
        <f>IF(AC21&gt;0,Standing!$C$32*0.33,0)</f>
        <v>0</v>
      </c>
      <c r="BG21" s="283">
        <f>IF(AC21&gt;0,Standing!$C$32*0.33,0)</f>
        <v>0</v>
      </c>
      <c r="BH21" s="284">
        <f>IF(AC21&gt;0,Standing!$C$32*0.33,0)</f>
        <v>0</v>
      </c>
      <c r="BI21" s="280">
        <f>IF(AC21&gt;0,Standing!$C$26*0.5,0)</f>
        <v>0</v>
      </c>
      <c r="BJ21" s="281">
        <f>IF(AC21&gt;0,Standing!$C$26*0.5,0)</f>
        <v>0</v>
      </c>
      <c r="BK21" s="282">
        <f>IF(AC21&gt;0,Standing!$C$26*0.5,0)</f>
        <v>0</v>
      </c>
      <c r="BL21" s="283">
        <f>IF(AC21&gt;0,Standing!$C$32,0)</f>
        <v>0</v>
      </c>
      <c r="BM21" s="281">
        <f>IF(AC21&gt;0,Standing!$C$32*0.9,0)</f>
        <v>0</v>
      </c>
      <c r="BN21" s="284">
        <f t="shared" si="2"/>
        <v>0</v>
      </c>
      <c r="BO21" s="282">
        <f>IF(AC21&gt;0,Standing!$C$32*0.5,0)</f>
        <v>0</v>
      </c>
      <c r="BP21" s="280">
        <f>IF(AC21&gt;0,Standing!$C$32*0.5,0)</f>
        <v>0</v>
      </c>
      <c r="BQ21" s="281">
        <f>IF(AC21&gt;0,Standing!$C$32*0.5,0)</f>
        <v>0</v>
      </c>
      <c r="BR21" s="282">
        <f>IF(AC21&gt;0,Standing!$C$32*0.4,0)</f>
        <v>0</v>
      </c>
      <c r="BS21" s="283">
        <f>IF(AC21&gt;0,Standing!$C$32*0.33,0)</f>
        <v>0</v>
      </c>
      <c r="BT21" s="284">
        <f>IF(AC21&gt;0,Standing!$C$32*0.3,0)</f>
        <v>0</v>
      </c>
      <c r="BU21" s="280">
        <f>IF(AC21&gt;0,Standing!$C$36,0)</f>
        <v>0</v>
      </c>
      <c r="BV21" s="281">
        <f>IF(AC21&gt;0,Standing!$C$36*0.66,0)</f>
        <v>0</v>
      </c>
      <c r="BW21" s="282">
        <f>IF(AC21&gt;0,Standing!$C$126*0.75,0)</f>
        <v>0</v>
      </c>
      <c r="BX21" s="283">
        <f>IF(AC21&gt;0,Standing!$C$126*0.66,0)</f>
        <v>0</v>
      </c>
      <c r="BY21" s="284">
        <f>IF(AC21&gt;0,Standing!$C$126*0.66,0)</f>
        <v>0</v>
      </c>
      <c r="BZ21" s="280">
        <f>IF(AC21&gt;0,Standing!$C$126*0.375,0)</f>
        <v>0</v>
      </c>
      <c r="CA21" s="281">
        <f>IF(AC21&gt;0,Standing!$C$132,0)</f>
        <v>0</v>
      </c>
      <c r="CB21" s="282">
        <f>IF(AC21&gt;0,Standing!$C$132*0.75,0)</f>
        <v>0</v>
      </c>
      <c r="CC21" s="283">
        <f>IF(AC21&gt;0,Standing!$C$132,0)</f>
        <v>0</v>
      </c>
      <c r="CD21" s="284">
        <f>IF(AC21&gt;0,Standing!$C$132*0.66,0)</f>
        <v>0</v>
      </c>
      <c r="CE21" s="280">
        <f>IF(AC21&gt;0,Standing!$C$132*0.4,0)</f>
        <v>0</v>
      </c>
      <c r="CF21" s="281">
        <f>IF(AC21&gt;0,Standing!$C$132*0.75,0)</f>
        <v>0</v>
      </c>
      <c r="CG21" s="282">
        <f>IF(AC21&gt;0,Standing!$C$132*0.66,0)</f>
        <v>0</v>
      </c>
      <c r="CH21" s="283">
        <f>IF(AC21&gt;0,Standing!$C$132*0.75,0)</f>
        <v>0</v>
      </c>
      <c r="CI21" s="284">
        <f>IF(AC21&gt;0,Standing!$C$132*0.66,0)</f>
        <v>0</v>
      </c>
      <c r="CJ21" s="280">
        <f>IF(AC21&gt;0,Standing!$C$132*0.66,0)</f>
        <v>0</v>
      </c>
      <c r="CK21" s="281">
        <f>IF(AC21&gt;0,Standing!$C$126*0.75,0)</f>
        <v>0</v>
      </c>
      <c r="CL21" s="282">
        <f>IF(AC21&gt;0,Standing!$C$126,0)</f>
        <v>0</v>
      </c>
      <c r="CM21" s="283">
        <f>IF(AC21&gt;0,Standing!$C$126,0)</f>
        <v>0</v>
      </c>
      <c r="CN21" s="284">
        <f>IF(AC21&gt;0,Standing!$C$126*0.66,0)</f>
        <v>0</v>
      </c>
      <c r="CO21" s="280">
        <f>IF(AC21&gt;0,Standing!$C$126*0.4,0)</f>
        <v>0</v>
      </c>
      <c r="CP21" s="281">
        <f>IF(AC21&gt;0,Standing!$C$26*0.25,0)</f>
        <v>0</v>
      </c>
      <c r="CQ21" s="282">
        <f>IF(AC21&gt;0,Standing!$C$26*0.165,0)</f>
        <v>0</v>
      </c>
      <c r="CR21" s="283">
        <f>IF(AC21&gt;0,Standing!$C$26*0.2,0)</f>
        <v>0</v>
      </c>
      <c r="CS21" s="285">
        <f>IF(AC21&gt;0,Standing!$C$26*0.16,0)</f>
        <v>0</v>
      </c>
      <c r="CT21" s="286"/>
      <c r="CU21" s="286" t="s">
        <v>25</v>
      </c>
    </row>
    <row r="22" ht="15.75" customHeight="1">
      <c r="A22" s="51"/>
      <c r="B22" s="290" t="s">
        <v>477</v>
      </c>
      <c r="C22" s="189">
        <f>IF(Standing!$C$26*0.1&gt;1,Standing!$C$26*0.1,1)</f>
        <v>1</v>
      </c>
      <c r="D22" s="218">
        <f t="shared" si="3"/>
        <v>0.3183091418</v>
      </c>
      <c r="E22" s="190">
        <f t="shared" si="4"/>
        <v>25.4</v>
      </c>
      <c r="F22" s="122">
        <f t="shared" si="5"/>
        <v>8.085052203</v>
      </c>
      <c r="G22" s="123">
        <f>C22/Introduction!$I$20</f>
        <v>0.01041666667</v>
      </c>
      <c r="H22" s="192">
        <f t="shared" si="6"/>
        <v>0.003315720227</v>
      </c>
      <c r="I22" s="124">
        <f>E22/Introduction!$I$20</f>
        <v>0.2645833333</v>
      </c>
      <c r="J22" s="125">
        <f t="shared" si="7"/>
        <v>0.08421929378</v>
      </c>
      <c r="K22" s="51"/>
      <c r="L22" s="51"/>
      <c r="M22" s="51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286"/>
      <c r="AB22" s="286" t="s">
        <v>26</v>
      </c>
      <c r="AC22" s="287">
        <f>IF('Ship Data Imperial'!E23&gt;0,'Ship Data Imperial'!E23,AD22)</f>
        <v>0</v>
      </c>
      <c r="AD22" s="287">
        <f>'Ship Data Metric'!E23*0.03280839895</f>
        <v>0</v>
      </c>
      <c r="AE22" s="284">
        <f>IF(AC22&gt;0,Standing!$C$75*0.45,0)</f>
        <v>0</v>
      </c>
      <c r="AF22" s="280">
        <f>IF(AC22&gt;0,Standing!$C$75*0.25,0)</f>
        <v>0</v>
      </c>
      <c r="AG22" s="281">
        <f>IF(AC22&gt;0,Standing!$C$75*0.2,0)</f>
        <v>0</v>
      </c>
      <c r="AH22" s="282">
        <f>IF(AC22&gt;0,Standing!$C$75*0.5,0)</f>
        <v>0</v>
      </c>
      <c r="AI22" s="283">
        <f>IF(AC22&gt;0,Standing!$C$75*0.2,0)</f>
        <v>0</v>
      </c>
      <c r="AJ22" s="284">
        <f>IF(AC22&gt;0,Standing!$C$75*0.25,0)</f>
        <v>0</v>
      </c>
      <c r="AK22" s="281">
        <f>IF(AC22&gt;0,Standing!$C$81*0.5,0)</f>
        <v>0</v>
      </c>
      <c r="AL22" s="282">
        <f t="shared" si="1"/>
        <v>0</v>
      </c>
      <c r="AM22" s="283">
        <f>IF(AC22&gt;0,Standing!$C$81*0.66,0)</f>
        <v>0</v>
      </c>
      <c r="AN22" s="284">
        <f>IF(AC22&gt;0,Standing!$C$81*0.45,0)</f>
        <v>0</v>
      </c>
      <c r="AO22" s="280">
        <f>IF(AC22&gt;0,Standing!$C$81*0.3,0)</f>
        <v>0</v>
      </c>
      <c r="AP22" s="281">
        <f>IF(AC22&gt;0,Standing!$C$81*0.9,0)</f>
        <v>0</v>
      </c>
      <c r="AQ22" s="282">
        <f>IF(AC22&gt;0,Standing!$C$85,0)</f>
        <v>0</v>
      </c>
      <c r="AR22" s="283">
        <f>IF(AC22&gt;0,Standing!$C$85*0.8,0)</f>
        <v>0</v>
      </c>
      <c r="AS22" s="284">
        <f>IF(AC22&gt;0,Standing!$C$85*0.66,0)</f>
        <v>0</v>
      </c>
      <c r="AT22" s="280">
        <f>IF(AC22&gt;0,Standing!$C$85*0.5,0)</f>
        <v>0</v>
      </c>
      <c r="AU22" s="281">
        <f>IF(AC22&gt;0,Standing!$C$75*0.2,0)</f>
        <v>0</v>
      </c>
      <c r="AV22" s="282">
        <f>IF(AC22&gt;0,Standing!$C$75*0.12,0)</f>
        <v>0</v>
      </c>
      <c r="AW22" s="283">
        <f>IF(AC22&gt;0,Standing!$C$26*0.4,0)</f>
        <v>0</v>
      </c>
      <c r="AX22" s="284">
        <f>IF(AC22&gt;0,Standing!$C$26*0.4,0)</f>
        <v>0</v>
      </c>
      <c r="AY22" s="280">
        <f>IF(AC22&gt;0,Standing!$C$26*0.2,0)</f>
        <v>0</v>
      </c>
      <c r="AZ22" s="281">
        <f>IF(AC22&gt;0,Standing!$C$26*0.33,0)</f>
        <v>0</v>
      </c>
      <c r="BA22" s="282">
        <f>IF(AC22&gt;0,Standing!$C$26*0.2,0)</f>
        <v>0</v>
      </c>
      <c r="BB22" s="283">
        <f>IF(AC22&gt;0,Standing!$C$26*0.2,0)</f>
        <v>0</v>
      </c>
      <c r="BC22" s="284">
        <f>IF(AC22&gt;0,Standing!$C$32*0.4,0)</f>
        <v>0</v>
      </c>
      <c r="BD22" s="280">
        <f>IF(AC22&gt;0,Standing!$C$32*0.5,0)</f>
        <v>0</v>
      </c>
      <c r="BE22" s="281">
        <f>IF(AC22&gt;0,Standing!$C$32*0.33,0)</f>
        <v>0</v>
      </c>
      <c r="BF22" s="282">
        <f>IF(AC22&gt;0,Standing!$C$32*0.33,0)</f>
        <v>0</v>
      </c>
      <c r="BG22" s="283">
        <f>IF(AC22&gt;0,Standing!$C$32*0.33,0)</f>
        <v>0</v>
      </c>
      <c r="BH22" s="284">
        <f>IF(AC22&gt;0,Standing!$C$32*0.4,0)</f>
        <v>0</v>
      </c>
      <c r="BI22" s="280">
        <f>IF(AC22&gt;0,Standing!$C$26*0.5,0)</f>
        <v>0</v>
      </c>
      <c r="BJ22" s="281">
        <f>IF(AC22&gt;0,Standing!$C$26*0.5,0)</f>
        <v>0</v>
      </c>
      <c r="BK22" s="282">
        <f>IF(AC22&gt;0,Standing!$C$26*0.5,0)</f>
        <v>0</v>
      </c>
      <c r="BL22" s="283">
        <f>IF(AC22&gt;0,Standing!$C$32,0)</f>
        <v>0</v>
      </c>
      <c r="BM22" s="281">
        <f>IF(AC22&gt;0,Standing!$C$32*0.85,0)</f>
        <v>0</v>
      </c>
      <c r="BN22" s="284">
        <f t="shared" si="2"/>
        <v>0</v>
      </c>
      <c r="BO22" s="282">
        <f>IF(AC22&gt;0,Standing!$C$32*0.5,0)</f>
        <v>0</v>
      </c>
      <c r="BP22" s="280">
        <f>IF(AC22&gt;0,Standing!$C$32*0.5,0)</f>
        <v>0</v>
      </c>
      <c r="BQ22" s="281">
        <f>IF(AC22&gt;0,Standing!$C$32*0.5,0)</f>
        <v>0</v>
      </c>
      <c r="BR22" s="282">
        <f>IF(AC22&gt;0,Standing!$C$32*0.4,0)</f>
        <v>0</v>
      </c>
      <c r="BS22" s="283">
        <f>IF(AC22&gt;0,Standing!$C$32*0.33,0)</f>
        <v>0</v>
      </c>
      <c r="BT22" s="284">
        <f>IF(AC22&gt;0,Standing!$C$32*0.3,0)</f>
        <v>0</v>
      </c>
      <c r="BU22" s="280">
        <f>IF(AC22&gt;0,Standing!$C$36,0)</f>
        <v>0</v>
      </c>
      <c r="BV22" s="281">
        <f>IF(AC22&gt;0,Standing!$C$36*0.66,0)</f>
        <v>0</v>
      </c>
      <c r="BW22" s="282">
        <f>IF(AC22&gt;0,Standing!$C$126*0.75,0)</f>
        <v>0</v>
      </c>
      <c r="BX22" s="283">
        <f>IF(AC22&gt;0,Standing!$C$126*0.66,0)</f>
        <v>0</v>
      </c>
      <c r="BY22" s="284">
        <f>IF(AC22&gt;0,Standing!$C$126*0.66,0)</f>
        <v>0</v>
      </c>
      <c r="BZ22" s="280">
        <f>IF(AC22&gt;0,Standing!$C$126*0.375,0)</f>
        <v>0</v>
      </c>
      <c r="CA22" s="281">
        <f>IF(AC22&gt;0,Standing!$C$132,0)</f>
        <v>0</v>
      </c>
      <c r="CB22" s="282">
        <f>IF(AC22&gt;0,Standing!$C$132*0.75,0)</f>
        <v>0</v>
      </c>
      <c r="CC22" s="283">
        <f>IF(AC22&gt;0,Standing!$C$132,0)</f>
        <v>0</v>
      </c>
      <c r="CD22" s="284">
        <f>IF(AC22&gt;0,Standing!$C$132*0.66,0)</f>
        <v>0</v>
      </c>
      <c r="CE22" s="280">
        <f>IF(AC22&gt;0,Standing!$C$132*0.4,0)</f>
        <v>0</v>
      </c>
      <c r="CF22" s="281">
        <f>IF(AC22&gt;0,Standing!$C$132*0.75,0)</f>
        <v>0</v>
      </c>
      <c r="CG22" s="282">
        <f>IF(AC22&gt;0,Standing!$C$132*0.66,0)</f>
        <v>0</v>
      </c>
      <c r="CH22" s="283">
        <f>IF(AC22&gt;0,Standing!$C$132*0.75,0)</f>
        <v>0</v>
      </c>
      <c r="CI22" s="284">
        <f>IF(AC22&gt;0,Standing!$C$132*0.66,0)</f>
        <v>0</v>
      </c>
      <c r="CJ22" s="280">
        <f>IF(AC22&gt;0,Standing!$C$132*0.66,0)</f>
        <v>0</v>
      </c>
      <c r="CK22" s="281">
        <f>IF(AC22&gt;0,Standing!$C$126*0.75,0)</f>
        <v>0</v>
      </c>
      <c r="CL22" s="282">
        <f>IF(AC22&gt;0,Standing!$C$126,0)</f>
        <v>0</v>
      </c>
      <c r="CM22" s="283">
        <f>IF(AC22&gt;0,Standing!$C$126,0)</f>
        <v>0</v>
      </c>
      <c r="CN22" s="284">
        <f>IF(AC22&gt;0,Standing!$C$126*0.66,0)</f>
        <v>0</v>
      </c>
      <c r="CO22" s="280">
        <f>IF(AC22&gt;0,Standing!$C$126*0.4,0)</f>
        <v>0</v>
      </c>
      <c r="CP22" s="281">
        <f>IF(AC22&gt;0,Standing!$C$26*0.25,0)</f>
        <v>0</v>
      </c>
      <c r="CQ22" s="282">
        <f>IF(AC22&gt;0,Standing!$C$26*0.2,0)</f>
        <v>0</v>
      </c>
      <c r="CR22" s="283">
        <f>IF(AC22&gt;0,Standing!$C$26*0.25,0)</f>
        <v>0</v>
      </c>
      <c r="CS22" s="285">
        <f>IF(AC22&gt;0,Standing!$C$26*0.2,0)</f>
        <v>0</v>
      </c>
      <c r="CT22" s="286"/>
      <c r="CU22" s="286" t="s">
        <v>26</v>
      </c>
    </row>
    <row r="23" ht="15.75" customHeight="1">
      <c r="A23" s="51"/>
      <c r="B23" s="290" t="s">
        <v>478</v>
      </c>
      <c r="C23" s="119">
        <f>BC136</f>
        <v>0.9724281496</v>
      </c>
      <c r="D23" s="218">
        <f t="shared" si="3"/>
        <v>0.3095327698</v>
      </c>
      <c r="E23" s="190">
        <f t="shared" si="4"/>
        <v>24.699675</v>
      </c>
      <c r="F23" s="122">
        <f t="shared" si="5"/>
        <v>7.862132353</v>
      </c>
      <c r="G23" s="123">
        <f>C23/Introduction!$I$20</f>
        <v>0.01012945989</v>
      </c>
      <c r="H23" s="192">
        <f t="shared" si="6"/>
        <v>0.003224299685</v>
      </c>
      <c r="I23" s="124">
        <f>E23/Introduction!$I$20</f>
        <v>0.2572882812</v>
      </c>
      <c r="J23" s="125">
        <f t="shared" si="7"/>
        <v>0.08189721201</v>
      </c>
      <c r="K23" s="51"/>
      <c r="L23" s="51"/>
      <c r="M23" s="51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286"/>
      <c r="AB23" s="286" t="s">
        <v>27</v>
      </c>
      <c r="AC23" s="287">
        <f>IF('Ship Data Imperial'!E24&gt;0,'Ship Data Imperial'!E24,AD23)</f>
        <v>0</v>
      </c>
      <c r="AD23" s="287">
        <f>'Ship Data Metric'!E24*0.03280839895</f>
        <v>0</v>
      </c>
      <c r="AE23" s="284">
        <f>IF(AC23&gt;0,Standing!$C$75*0.45,0)</f>
        <v>0</v>
      </c>
      <c r="AF23" s="280">
        <f>IF(AC23&gt;0,Standing!$C$75*0.33,0)</f>
        <v>0</v>
      </c>
      <c r="AG23" s="281">
        <f>IF(AC23&gt;0,Standing!$C$75*0.2,0)</f>
        <v>0</v>
      </c>
      <c r="AH23" s="282">
        <f>IF(AC23&gt;0,Standing!$C$75*0.5,0)</f>
        <v>0</v>
      </c>
      <c r="AI23" s="283">
        <f>IF(AC23&gt;0,Standing!$C$75*0.2,0)</f>
        <v>0</v>
      </c>
      <c r="AJ23" s="284">
        <f>IF(AC23&gt;0,Standing!$C$75*0.25,0)</f>
        <v>0</v>
      </c>
      <c r="AK23" s="281">
        <f>IF(AC23&gt;0,Standing!$C$81*0.5,0)</f>
        <v>0</v>
      </c>
      <c r="AL23" s="282">
        <f t="shared" si="1"/>
        <v>0</v>
      </c>
      <c r="AM23" s="283">
        <f>IF(AC23&gt;0,Standing!$C$81*0.66,0)</f>
        <v>0</v>
      </c>
      <c r="AN23" s="284">
        <f>IF(AC23&gt;0,Standing!$C$81*0.45,0)</f>
        <v>0</v>
      </c>
      <c r="AO23" s="280">
        <f>IF(AC23&gt;0,Standing!$C$81*0.3,0)</f>
        <v>0</v>
      </c>
      <c r="AP23" s="281">
        <f>IF(AC23&gt;0,Standing!$C$81*0.9,0)</f>
        <v>0</v>
      </c>
      <c r="AQ23" s="282">
        <f>IF(AC23&gt;0,Standing!$C$85,0)</f>
        <v>0</v>
      </c>
      <c r="AR23" s="283">
        <f>IF(AC23&gt;0,Standing!$C$85*0.8,0)</f>
        <v>0</v>
      </c>
      <c r="AS23" s="284">
        <f>IF(AC23&gt;0,Standing!$C$85*0.66,0)</f>
        <v>0</v>
      </c>
      <c r="AT23" s="280">
        <f>IF(AC23&gt;0,Standing!$C$85*0.5,0)</f>
        <v>0</v>
      </c>
      <c r="AU23" s="281">
        <f>IF(AC23&gt;0,Standing!$C$75*0.25,0)</f>
        <v>0</v>
      </c>
      <c r="AV23" s="282">
        <f>IF(AC23&gt;0,Standing!$C$75*0.12,0)</f>
        <v>0</v>
      </c>
      <c r="AW23" s="283">
        <f>IF(AC23&gt;0,Standing!$C$26*0.4,0)</f>
        <v>0</v>
      </c>
      <c r="AX23" s="284">
        <f>IF(AC23&gt;0,Standing!$C$26*0.4,0)</f>
        <v>0</v>
      </c>
      <c r="AY23" s="280">
        <f>IF(AC23&gt;0,Standing!$C$26*0.2,0)</f>
        <v>0</v>
      </c>
      <c r="AZ23" s="281">
        <f>IF(AC23&gt;0,Standing!$C$26*0.33,0)</f>
        <v>0</v>
      </c>
      <c r="BA23" s="282">
        <f>IF(AC23&gt;0,Standing!$C$26*0.2,0)</f>
        <v>0</v>
      </c>
      <c r="BB23" s="283">
        <f>IF(AC23&gt;0,Standing!$C$26*0.2,0)</f>
        <v>0</v>
      </c>
      <c r="BC23" s="284">
        <f>IF(AC23&gt;0,Standing!$C$32*0.4,0)</f>
        <v>0</v>
      </c>
      <c r="BD23" s="280">
        <f>IF(AC23&gt;0,Standing!$C$32*0.5,0)</f>
        <v>0</v>
      </c>
      <c r="BE23" s="281">
        <f>IF(AC23&gt;0,Standing!$C$32*0.33,0)</f>
        <v>0</v>
      </c>
      <c r="BF23" s="282">
        <f>IF(AC23&gt;0,Standing!$C$32*0.33,0)</f>
        <v>0</v>
      </c>
      <c r="BG23" s="283">
        <f>IF(AC23&gt;0,Standing!$C$32*0.33,0)</f>
        <v>0</v>
      </c>
      <c r="BH23" s="284">
        <f>IF(AC23&gt;0,Standing!$C$32*0.4,0)</f>
        <v>0</v>
      </c>
      <c r="BI23" s="280">
        <f>IF(AC23&gt;0,Standing!$C$26*0.5,0)</f>
        <v>0</v>
      </c>
      <c r="BJ23" s="281">
        <f>IF(AC23&gt;0,Standing!$C$26*0.5,0)</f>
        <v>0</v>
      </c>
      <c r="BK23" s="282">
        <f>IF(AC23&gt;0,Standing!$C$26*0.5,0)</f>
        <v>0</v>
      </c>
      <c r="BL23" s="283">
        <f>IF(AC23&gt;0,Standing!$C$32,0)</f>
        <v>0</v>
      </c>
      <c r="BM23" s="281">
        <f>IF(AC23&gt;0,Standing!$C$32*0.85,0)</f>
        <v>0</v>
      </c>
      <c r="BN23" s="284">
        <f t="shared" si="2"/>
        <v>0</v>
      </c>
      <c r="BO23" s="282">
        <f>IF(AC23&gt;0,Standing!$C$32*0.45,0)</f>
        <v>0</v>
      </c>
      <c r="BP23" s="280">
        <f>IF(AC23&gt;0,Standing!$C$32*0.66,0)</f>
        <v>0</v>
      </c>
      <c r="BQ23" s="281">
        <f>IF(AC23&gt;0,Standing!$C$32*0.5,0)</f>
        <v>0</v>
      </c>
      <c r="BR23" s="282">
        <f>IF(AC23&gt;0,Standing!$C$32*0.4,0)</f>
        <v>0</v>
      </c>
      <c r="BS23" s="283">
        <f>IF(AC23&gt;0,Standing!$C$32*0.33,0)</f>
        <v>0</v>
      </c>
      <c r="BT23" s="284">
        <f>IF(AC23&gt;0,Standing!$C$32*0.3,0)</f>
        <v>0</v>
      </c>
      <c r="BU23" s="280">
        <f>IF(AC23&gt;0,Standing!$C$36,0)</f>
        <v>0</v>
      </c>
      <c r="BV23" s="281">
        <f>IF(AC23&gt;0,Standing!$C$36*0.66,0)</f>
        <v>0</v>
      </c>
      <c r="BW23" s="282">
        <f>IF(AC23&gt;0,Standing!$C$126*0.75,0)</f>
        <v>0</v>
      </c>
      <c r="BX23" s="283">
        <f>IF(AC23&gt;0,Standing!$C$126*0.33,0)</f>
        <v>0</v>
      </c>
      <c r="BY23" s="284">
        <f>IF(AC23&gt;0,Standing!$C$126*0.66,0)</f>
        <v>0</v>
      </c>
      <c r="BZ23" s="280">
        <f>IF(AC23&gt;0,Standing!$C$126*0.375,0)</f>
        <v>0</v>
      </c>
      <c r="CA23" s="281">
        <f>IF(AC23&gt;0,Standing!$C$132,0)</f>
        <v>0</v>
      </c>
      <c r="CB23" s="282">
        <f>IF(AC23&gt;0,Standing!$C$132*0.75,0)</f>
        <v>0</v>
      </c>
      <c r="CC23" s="283">
        <f>IF(AC23&gt;0,Standing!$C$132,0)</f>
        <v>0</v>
      </c>
      <c r="CD23" s="284">
        <f>IF(AC23&gt;0,Standing!$C$132*0.66,0)</f>
        <v>0</v>
      </c>
      <c r="CE23" s="280">
        <f>IF(AC23&gt;0,Standing!$C$132*0.5,0)</f>
        <v>0</v>
      </c>
      <c r="CF23" s="281">
        <f>IF(AC23&gt;0,Standing!$C$132*0.75,0)</f>
        <v>0</v>
      </c>
      <c r="CG23" s="282">
        <f>IF(AC23&gt;0,Standing!$C$132*0.66,0)</f>
        <v>0</v>
      </c>
      <c r="CH23" s="283">
        <f>IF(AC23&gt;0,Standing!$C$132*0.75,0)</f>
        <v>0</v>
      </c>
      <c r="CI23" s="284">
        <f>IF(AC23&gt;0,Standing!$C$132*0.66,0)</f>
        <v>0</v>
      </c>
      <c r="CJ23" s="280">
        <f>IF(AC23&gt;0,Standing!$C$132*0.66,0)</f>
        <v>0</v>
      </c>
      <c r="CK23" s="281">
        <f>IF(AC23&gt;0,Standing!$C$126*0.75,0)</f>
        <v>0</v>
      </c>
      <c r="CL23" s="282">
        <f>IF(AC23&gt;0,Standing!$C$126,0)</f>
        <v>0</v>
      </c>
      <c r="CM23" s="283">
        <f>IF(AC23&gt;0,Standing!$C$126,0)</f>
        <v>0</v>
      </c>
      <c r="CN23" s="284">
        <f>IF(AC23&gt;0,Standing!$C$126*0.66,0)</f>
        <v>0</v>
      </c>
      <c r="CO23" s="280">
        <f>IF(AC23&gt;0,Standing!$C$126*0.4,0)</f>
        <v>0</v>
      </c>
      <c r="CP23" s="281">
        <f>IF(AC23&gt;0,Standing!$C$26*0.33,0)</f>
        <v>0</v>
      </c>
      <c r="CQ23" s="282">
        <f>IF(AC23&gt;0,Standing!$C$26*0.2,0)</f>
        <v>0</v>
      </c>
      <c r="CR23" s="283">
        <f>IF(AC23&gt;0,Standing!$C$26*0.25,0)</f>
        <v>0</v>
      </c>
      <c r="CS23" s="285">
        <f>IF(AC23&gt;0,Standing!$C$26*0.2,0)</f>
        <v>0</v>
      </c>
      <c r="CT23" s="286"/>
      <c r="CU23" s="286" t="s">
        <v>27</v>
      </c>
    </row>
    <row r="24" ht="15.75" customHeight="1">
      <c r="A24" s="51"/>
      <c r="B24" s="290" t="s">
        <v>479</v>
      </c>
      <c r="C24" s="119">
        <f>BD136</f>
        <v>1.473375984</v>
      </c>
      <c r="D24" s="218">
        <f t="shared" si="3"/>
        <v>0.4689890452</v>
      </c>
      <c r="E24" s="190">
        <f t="shared" si="4"/>
        <v>37.42375</v>
      </c>
      <c r="F24" s="122">
        <f t="shared" si="5"/>
        <v>11.91232175</v>
      </c>
      <c r="G24" s="123">
        <f>C24/Introduction!$I$20</f>
        <v>0.0153476665</v>
      </c>
      <c r="H24" s="192">
        <f t="shared" si="6"/>
        <v>0.004885302554</v>
      </c>
      <c r="I24" s="124">
        <f>E24/Introduction!$I$20</f>
        <v>0.3898307292</v>
      </c>
      <c r="J24" s="125">
        <f t="shared" si="7"/>
        <v>0.1240866849</v>
      </c>
      <c r="K24" s="51"/>
      <c r="L24" s="51"/>
      <c r="M24" s="51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286"/>
      <c r="AB24" s="286" t="s">
        <v>28</v>
      </c>
      <c r="AC24" s="287">
        <f>IF('Ship Data Imperial'!E25&gt;0,'Ship Data Imperial'!E25,AD24)</f>
        <v>0</v>
      </c>
      <c r="AD24" s="287">
        <f>'Ship Data Metric'!E25*0.03280839895</f>
        <v>0</v>
      </c>
      <c r="AE24" s="284">
        <f>IF(AC24&gt;0,Standing!$C$75*0.65,0)</f>
        <v>0</v>
      </c>
      <c r="AF24" s="280">
        <f>IF(AC24&gt;0,Standing!$C$75*0.33,0)</f>
        <v>0</v>
      </c>
      <c r="AG24" s="281">
        <f>IF(AC24&gt;0,Standing!$C$75*0.2,0)</f>
        <v>0</v>
      </c>
      <c r="AH24" s="282">
        <f>IF(AC24&gt;0,Standing!$C$75*0.5,0)</f>
        <v>0</v>
      </c>
      <c r="AI24" s="283">
        <f>IF(AC24&gt;0,Standing!$C$75*0.2,0)</f>
        <v>0</v>
      </c>
      <c r="AJ24" s="284">
        <f>IF(AC24&gt;0,Standing!$C$75*0.25,0)</f>
        <v>0</v>
      </c>
      <c r="AK24" s="281">
        <f>IF(AC24&gt;0,Standing!$C$81*0.5,0)</f>
        <v>0</v>
      </c>
      <c r="AL24" s="282">
        <f t="shared" si="1"/>
        <v>0</v>
      </c>
      <c r="AM24" s="283">
        <f>IF(AC24&gt;0,Standing!$C$81*0.66,0)</f>
        <v>0</v>
      </c>
      <c r="AN24" s="284">
        <f>IF(AC24&gt;0,Standing!$C$81*0.45,0)</f>
        <v>0</v>
      </c>
      <c r="AO24" s="280">
        <f>IF(AC24&gt;0,Standing!$C$81*0.3,0)</f>
        <v>0</v>
      </c>
      <c r="AP24" s="281">
        <f>IF(AC24&gt;0,Standing!$C$81*0.9,0)</f>
        <v>0</v>
      </c>
      <c r="AQ24" s="282">
        <f>IF(AC24&gt;0,Standing!$C$85,0)</f>
        <v>0</v>
      </c>
      <c r="AR24" s="283">
        <f>IF(AC24&gt;0,Standing!$C$85*0.8,0)</f>
        <v>0</v>
      </c>
      <c r="AS24" s="284">
        <f>IF(AC24&gt;0,Standing!$C$85*0.66,0)</f>
        <v>0</v>
      </c>
      <c r="AT24" s="280">
        <f>IF(AC24&gt;0,Standing!$C$85*0.5,0)</f>
        <v>0</v>
      </c>
      <c r="AU24" s="281">
        <f>IF(AC24&gt;0,Standing!$C$75*0.25,0)</f>
        <v>0</v>
      </c>
      <c r="AV24" s="282">
        <f>IF(AC24&gt;0,Standing!$C$75*0.12,0)</f>
        <v>0</v>
      </c>
      <c r="AW24" s="283">
        <f>IF(AC24&gt;0,Standing!$C$26*0.4,0)</f>
        <v>0</v>
      </c>
      <c r="AX24" s="284">
        <f>IF(AC24&gt;0,Standing!$C$26*0.4,0)</f>
        <v>0</v>
      </c>
      <c r="AY24" s="280">
        <f>IF(AC24&gt;0,Standing!$C$26*0.2,0)</f>
        <v>0</v>
      </c>
      <c r="AZ24" s="281">
        <f>IF(AC24&gt;0,Standing!$C$26*0.33,0)</f>
        <v>0</v>
      </c>
      <c r="BA24" s="282">
        <f>IF(AC24&gt;0,Standing!$C$26*0.2,0)</f>
        <v>0</v>
      </c>
      <c r="BB24" s="283">
        <f>IF(AC24&gt;0,Standing!$C$26*0.2,0)</f>
        <v>0</v>
      </c>
      <c r="BC24" s="284">
        <f>IF(AC24&gt;0,Standing!$C$32*0.4,0)</f>
        <v>0</v>
      </c>
      <c r="BD24" s="280">
        <f>IF(AC24&gt;0,Standing!$C$32*0.5,0)</f>
        <v>0</v>
      </c>
      <c r="BE24" s="281">
        <f>IF(AC24&gt;0,Standing!$C$32*0.33,0)</f>
        <v>0</v>
      </c>
      <c r="BF24" s="282">
        <f>IF(AC24&gt;0,Standing!$C$32*0.33,0)</f>
        <v>0</v>
      </c>
      <c r="BG24" s="283">
        <f>IF(AC24&gt;0,Standing!$C$32*0.33,0)</f>
        <v>0</v>
      </c>
      <c r="BH24" s="284">
        <f>IF(AC24&gt;0,Standing!$C$32*0.4,0)</f>
        <v>0</v>
      </c>
      <c r="BI24" s="280">
        <f>IF(AC24&gt;0,Standing!$C$26*0.75,0)</f>
        <v>0</v>
      </c>
      <c r="BJ24" s="281">
        <f>IF(AC24&gt;0,Standing!$C$26*0.5,0)</f>
        <v>0</v>
      </c>
      <c r="BK24" s="282">
        <f>IF(AC24&gt;0,Standing!$C$26*0.5,0)</f>
        <v>0</v>
      </c>
      <c r="BL24" s="283">
        <f>IF(AC24&gt;0,Standing!$C$32,0)</f>
        <v>0</v>
      </c>
      <c r="BM24" s="281">
        <f>IF(AC24&gt;0,Standing!$C$32*0.85,0)</f>
        <v>0</v>
      </c>
      <c r="BN24" s="284">
        <f t="shared" si="2"/>
        <v>0</v>
      </c>
      <c r="BO24" s="282">
        <f>IF(AC24&gt;0,Standing!$C$32*0.45,0)</f>
        <v>0</v>
      </c>
      <c r="BP24" s="280">
        <f>IF(AC24&gt;0,Standing!$C$32*0.66,0)</f>
        <v>0</v>
      </c>
      <c r="BQ24" s="281">
        <f>IF(AC24&gt;0,Standing!$C$32*0.5,0)</f>
        <v>0</v>
      </c>
      <c r="BR24" s="282">
        <f>IF(AC24&gt;0,Standing!$C$32*0.4,0)</f>
        <v>0</v>
      </c>
      <c r="BS24" s="283">
        <f>IF(AC24&gt;0,Standing!$C$32*0.33,0)</f>
        <v>0</v>
      </c>
      <c r="BT24" s="284">
        <f>IF(AC24&gt;0,Standing!$C$32*0.3,0)</f>
        <v>0</v>
      </c>
      <c r="BU24" s="280">
        <f>IF(AC24&gt;0,Standing!$C$36,0)</f>
        <v>0</v>
      </c>
      <c r="BV24" s="281">
        <f>IF(AC24&gt;0,Standing!$C$36*0.66,0)</f>
        <v>0</v>
      </c>
      <c r="BW24" s="282">
        <f>IF(AC24&gt;0,Standing!$C$126*0.75,0)</f>
        <v>0</v>
      </c>
      <c r="BX24" s="283">
        <f>IF(AC24&gt;0,Standing!$C$126*0.33,0)</f>
        <v>0</v>
      </c>
      <c r="BY24" s="284">
        <f>IF(AC24&gt;0,Standing!$C$126*0.66,0)</f>
        <v>0</v>
      </c>
      <c r="BZ24" s="280">
        <f>IF(AC24&gt;0,Standing!$C$126*0.375,0)</f>
        <v>0</v>
      </c>
      <c r="CA24" s="281">
        <f>IF(AC24&gt;0,Standing!$C$132,0)</f>
        <v>0</v>
      </c>
      <c r="CB24" s="282">
        <f>IF(AC24&gt;0,Standing!$C$132*0.75,0)</f>
        <v>0</v>
      </c>
      <c r="CC24" s="283">
        <f>IF(AC24&gt;0,Standing!$C$132,0)</f>
        <v>0</v>
      </c>
      <c r="CD24" s="284">
        <f>IF(AC24&gt;0,Standing!$C$132*0.66,0)</f>
        <v>0</v>
      </c>
      <c r="CE24" s="280">
        <f>IF(AC24&gt;0,Standing!$C$132*0.5,0)</f>
        <v>0</v>
      </c>
      <c r="CF24" s="281">
        <f>IF(AC24&gt;0,Standing!$C$132*0.75,0)</f>
        <v>0</v>
      </c>
      <c r="CG24" s="282">
        <f>IF(AC24&gt;0,Standing!$C$132*0.66,0)</f>
        <v>0</v>
      </c>
      <c r="CH24" s="283">
        <f>IF(AC24&gt;0,Standing!$C$132*0.75,0)</f>
        <v>0</v>
      </c>
      <c r="CI24" s="284">
        <f>IF(AC24&gt;0,Standing!$C$132*0.66,0)</f>
        <v>0</v>
      </c>
      <c r="CJ24" s="280">
        <f>IF(AC24&gt;0,Standing!$C$132*0.66,0)</f>
        <v>0</v>
      </c>
      <c r="CK24" s="281">
        <f>IF(AC24&gt;0,Standing!$C$126*0.75,0)</f>
        <v>0</v>
      </c>
      <c r="CL24" s="282">
        <f>IF(AC24&gt;0,Standing!$C$126,0)</f>
        <v>0</v>
      </c>
      <c r="CM24" s="283">
        <f>IF(AC24&gt;0,Standing!$C$126,0)</f>
        <v>0</v>
      </c>
      <c r="CN24" s="284">
        <f>IF(AC24&gt;0,Standing!$C$126*0.66,0)</f>
        <v>0</v>
      </c>
      <c r="CO24" s="280">
        <f>IF(AC24&gt;0,Standing!$C$126*0.4,0)</f>
        <v>0</v>
      </c>
      <c r="CP24" s="281">
        <f>IF(AC24&gt;0,Standing!$C$26*0.33,0)</f>
        <v>0</v>
      </c>
      <c r="CQ24" s="282">
        <f>IF(AC24&gt;0,Standing!$C$26*0.2,0)</f>
        <v>0</v>
      </c>
      <c r="CR24" s="283">
        <f>IF(AC24&gt;0,Standing!$C$26*0.25,0)</f>
        <v>0</v>
      </c>
      <c r="CS24" s="285">
        <f>IF(AC24&gt;0,Standing!$C$26*0.2,0)</f>
        <v>0</v>
      </c>
      <c r="CT24" s="286"/>
      <c r="CU24" s="286" t="s">
        <v>28</v>
      </c>
    </row>
    <row r="25" ht="15.75" customHeight="1">
      <c r="A25" s="51"/>
      <c r="B25" s="290" t="s">
        <v>480</v>
      </c>
      <c r="C25" s="119">
        <f>BE136</f>
        <v>0.9724281496</v>
      </c>
      <c r="D25" s="218">
        <f t="shared" si="3"/>
        <v>0.3095327698</v>
      </c>
      <c r="E25" s="190">
        <f t="shared" si="4"/>
        <v>24.699675</v>
      </c>
      <c r="F25" s="122">
        <f t="shared" si="5"/>
        <v>7.862132353</v>
      </c>
      <c r="G25" s="123">
        <f>C25/Introduction!$I$20</f>
        <v>0.01012945989</v>
      </c>
      <c r="H25" s="192">
        <f t="shared" si="6"/>
        <v>0.003224299685</v>
      </c>
      <c r="I25" s="124">
        <f>E25/Introduction!$I$20</f>
        <v>0.2572882812</v>
      </c>
      <c r="J25" s="125">
        <f t="shared" si="7"/>
        <v>0.08189721201</v>
      </c>
      <c r="K25" s="51"/>
      <c r="L25" s="51"/>
      <c r="M25" s="51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286"/>
      <c r="AB25" s="286" t="s">
        <v>29</v>
      </c>
      <c r="AC25" s="287">
        <f>IF('Ship Data Imperial'!E26&gt;0,'Ship Data Imperial'!E26,AD25)</f>
        <v>0</v>
      </c>
      <c r="AD25" s="287">
        <f>'Ship Data Metric'!E26*0.03280839895</f>
        <v>0</v>
      </c>
      <c r="AE25" s="284">
        <f>IF(AC25&gt;0,Standing!$C$75*0.65,0)</f>
        <v>0</v>
      </c>
      <c r="AF25" s="280">
        <f>IF(AC25&gt;0,Standing!$C$75*0.33,0)</f>
        <v>0</v>
      </c>
      <c r="AG25" s="281">
        <f>IF(AC25&gt;0,Standing!$C$75*0.2,0)</f>
        <v>0</v>
      </c>
      <c r="AH25" s="282">
        <f>IF(AC25&gt;0,Standing!$C$75*0.5,0)</f>
        <v>0</v>
      </c>
      <c r="AI25" s="283">
        <f>IF(AC25&gt;0,Standing!$C$75*0.2,0)</f>
        <v>0</v>
      </c>
      <c r="AJ25" s="284">
        <f>IF(AC25&gt;0,Standing!$C$75*0.25,0)</f>
        <v>0</v>
      </c>
      <c r="AK25" s="281">
        <f>IF(AC25&gt;0,Standing!$C$81*0.5,0)</f>
        <v>0</v>
      </c>
      <c r="AL25" s="282">
        <f t="shared" si="1"/>
        <v>0</v>
      </c>
      <c r="AM25" s="283">
        <f>IF(AC25&gt;0,Standing!$C$81*0.66,0)</f>
        <v>0</v>
      </c>
      <c r="AN25" s="284">
        <f>IF(AC25&gt;0,Standing!$C$81*0.45,0)</f>
        <v>0</v>
      </c>
      <c r="AO25" s="280">
        <f>IF(AC25&gt;0,Standing!$C$81*0.3,0)</f>
        <v>0</v>
      </c>
      <c r="AP25" s="281">
        <f>IF(AC25&gt;0,Standing!$C$81*0.9,0)</f>
        <v>0</v>
      </c>
      <c r="AQ25" s="282">
        <f>IF(AC25&gt;0,Standing!$C$85,0)</f>
        <v>0</v>
      </c>
      <c r="AR25" s="283">
        <f>IF(AC25&gt;0,Standing!$C$85*0.8,0)</f>
        <v>0</v>
      </c>
      <c r="AS25" s="284">
        <f>IF(AC25&gt;0,Standing!$C$85*0.66,0)</f>
        <v>0</v>
      </c>
      <c r="AT25" s="280">
        <f>IF(AC25&gt;0,Standing!$C$85*0.5,0)</f>
        <v>0</v>
      </c>
      <c r="AU25" s="281">
        <f>IF(AC25&gt;0,Standing!$C$75*0.25,0)</f>
        <v>0</v>
      </c>
      <c r="AV25" s="282">
        <f>IF(AC25&gt;0,Standing!$C$75*0.12,0)</f>
        <v>0</v>
      </c>
      <c r="AW25" s="283">
        <f>IF(AC25&gt;0,Standing!$C$26*0.4,0)</f>
        <v>0</v>
      </c>
      <c r="AX25" s="284">
        <f>IF(AC25&gt;0,Standing!$C$26*0.4,0)</f>
        <v>0</v>
      </c>
      <c r="AY25" s="280">
        <f>IF(AC25&gt;0,Standing!$C$26*0.2,0)</f>
        <v>0</v>
      </c>
      <c r="AZ25" s="281">
        <f>IF(AC25&gt;0,Standing!$C$26*0.33,0)</f>
        <v>0</v>
      </c>
      <c r="BA25" s="282">
        <f>IF(AC25&gt;0,Standing!$C$26*0.2,0)</f>
        <v>0</v>
      </c>
      <c r="BB25" s="283">
        <f>IF(AC25&gt;0,Standing!$C$26*0.2,0)</f>
        <v>0</v>
      </c>
      <c r="BC25" s="284">
        <f>IF(AC25&gt;0,Standing!$C$32*0.4,0)</f>
        <v>0</v>
      </c>
      <c r="BD25" s="280">
        <f>IF(AC25&gt;0,Standing!$C$32*0.5,0)</f>
        <v>0</v>
      </c>
      <c r="BE25" s="281">
        <f>IF(AC25&gt;0,Standing!$C$32*0.33,0)</f>
        <v>0</v>
      </c>
      <c r="BF25" s="282">
        <f>IF(AC25&gt;0,Standing!$C$32*0.33,0)</f>
        <v>0</v>
      </c>
      <c r="BG25" s="283">
        <f>IF(AC25&gt;0,Standing!$C$32*0.33,0)</f>
        <v>0</v>
      </c>
      <c r="BH25" s="284">
        <f>IF(AC25&gt;0,Standing!$C$32*0.4,0)</f>
        <v>0</v>
      </c>
      <c r="BI25" s="280">
        <f>IF(AC25&gt;0,Standing!$C$26*0.75,0)</f>
        <v>0</v>
      </c>
      <c r="BJ25" s="281">
        <f>IF(AC25&gt;0,Standing!$C$26*0.5,0)</f>
        <v>0</v>
      </c>
      <c r="BK25" s="282">
        <f>IF(AC25&gt;0,Standing!$C$26*0.5,0)</f>
        <v>0</v>
      </c>
      <c r="BL25" s="283">
        <f>IF(AC25&gt;0,Standing!$C$32,0)</f>
        <v>0</v>
      </c>
      <c r="BM25" s="281">
        <f>IF(AC25&gt;0,Standing!$C$32*0.85,0)</f>
        <v>0</v>
      </c>
      <c r="BN25" s="284">
        <f t="shared" si="2"/>
        <v>0</v>
      </c>
      <c r="BO25" s="282">
        <f>IF(AC25&gt;0,Standing!$C$32*0.45,0)</f>
        <v>0</v>
      </c>
      <c r="BP25" s="280">
        <f>IF(AC25&gt;0,Standing!$C$32*0.66,0)</f>
        <v>0</v>
      </c>
      <c r="BQ25" s="281">
        <f>IF(AC25&gt;0,Standing!$C$32*0.5,0)</f>
        <v>0</v>
      </c>
      <c r="BR25" s="282">
        <f>IF(AC25&gt;0,Standing!$C$32*0.4,0)</f>
        <v>0</v>
      </c>
      <c r="BS25" s="283">
        <f>IF(AC25&gt;0,Standing!$C$32*0.375,0)</f>
        <v>0</v>
      </c>
      <c r="BT25" s="284">
        <f>IF(AC25&gt;0,Standing!$C$32*0.3,0)</f>
        <v>0</v>
      </c>
      <c r="BU25" s="280">
        <f>IF(AC25&gt;0,Standing!$C$36,0)</f>
        <v>0</v>
      </c>
      <c r="BV25" s="281">
        <f>IF(AC25&gt;0,Standing!$C$36*0.66,0)</f>
        <v>0</v>
      </c>
      <c r="BW25" s="282">
        <f>IF(AC25&gt;0,Standing!$C$126*0.75,0)</f>
        <v>0</v>
      </c>
      <c r="BX25" s="283">
        <f>IF(AC25&gt;0,Standing!$C$126*0.33,0)</f>
        <v>0</v>
      </c>
      <c r="BY25" s="284">
        <f>IF(AC25&gt;0,Standing!$C$126*0.66,0)</f>
        <v>0</v>
      </c>
      <c r="BZ25" s="280">
        <f>IF(AC25&gt;0,Standing!$C$126*0.375,0)</f>
        <v>0</v>
      </c>
      <c r="CA25" s="281">
        <f>IF(AC25&gt;0,Standing!$C$132,0)</f>
        <v>0</v>
      </c>
      <c r="CB25" s="282">
        <f>IF(AC25&gt;0,Standing!$C$132*0.75,0)</f>
        <v>0</v>
      </c>
      <c r="CC25" s="283">
        <f>IF(AC25&gt;0,Standing!$C$132,0)</f>
        <v>0</v>
      </c>
      <c r="CD25" s="284">
        <f>IF(AC25&gt;0,Standing!$C$132*0.66,0)</f>
        <v>0</v>
      </c>
      <c r="CE25" s="280">
        <f>IF(AC25&gt;0,Standing!$C$132*0.5,0)</f>
        <v>0</v>
      </c>
      <c r="CF25" s="281">
        <f>IF(AC25&gt;0,Standing!$C$132*0.75,0)</f>
        <v>0</v>
      </c>
      <c r="CG25" s="282">
        <f>IF(AC25&gt;0,Standing!$C$132*0.66,0)</f>
        <v>0</v>
      </c>
      <c r="CH25" s="283">
        <f>IF(AC25&gt;0,Standing!$C$132*0.75,0)</f>
        <v>0</v>
      </c>
      <c r="CI25" s="284">
        <f>IF(AC25&gt;0,Standing!$C$132*0.66,0)</f>
        <v>0</v>
      </c>
      <c r="CJ25" s="280">
        <f>IF(AC25&gt;0,Standing!$C$132*0.66,0)</f>
        <v>0</v>
      </c>
      <c r="CK25" s="281">
        <f>IF(AC25&gt;0,Standing!$C$126*0.75,0)</f>
        <v>0</v>
      </c>
      <c r="CL25" s="282">
        <f>IF(AC25&gt;0,Standing!$C$126,0)</f>
        <v>0</v>
      </c>
      <c r="CM25" s="283">
        <f>IF(AC25&gt;0,Standing!$C$126,0)</f>
        <v>0</v>
      </c>
      <c r="CN25" s="284">
        <f>IF(AC25&gt;0,Standing!$C$126*0.66,0)</f>
        <v>0</v>
      </c>
      <c r="CO25" s="280">
        <f>IF(AC25&gt;0,Standing!$C$126*0.4,0)</f>
        <v>0</v>
      </c>
      <c r="CP25" s="281">
        <f>IF(AC25&gt;0,Standing!$C$26*0.33,0)</f>
        <v>0</v>
      </c>
      <c r="CQ25" s="282">
        <f>IF(AC25&gt;0,Standing!$C$26*0.2,0)</f>
        <v>0</v>
      </c>
      <c r="CR25" s="283">
        <f>IF(AC25&gt;0,Standing!$C$26*0.25,0)</f>
        <v>0</v>
      </c>
      <c r="CS25" s="285">
        <f>IF(AC25&gt;0,Standing!$C$26*0.2,0)</f>
        <v>0</v>
      </c>
      <c r="CT25" s="286"/>
      <c r="CU25" s="286" t="s">
        <v>29</v>
      </c>
    </row>
    <row r="26" ht="15.75" customHeight="1">
      <c r="A26" s="51"/>
      <c r="B26" s="290" t="s">
        <v>481</v>
      </c>
      <c r="C26" s="119">
        <f>C25</f>
        <v>0.9724281496</v>
      </c>
      <c r="D26" s="218">
        <f t="shared" si="3"/>
        <v>0.3095327698</v>
      </c>
      <c r="E26" s="190">
        <f t="shared" si="4"/>
        <v>24.699675</v>
      </c>
      <c r="F26" s="122">
        <f t="shared" si="5"/>
        <v>7.862132353</v>
      </c>
      <c r="G26" s="123">
        <f>C26/Introduction!$I$20</f>
        <v>0.01012945989</v>
      </c>
      <c r="H26" s="192">
        <f t="shared" si="6"/>
        <v>0.003224299685</v>
      </c>
      <c r="I26" s="124">
        <f>E26/Introduction!$I$20</f>
        <v>0.2572882812</v>
      </c>
      <c r="J26" s="125">
        <f t="shared" si="7"/>
        <v>0.08189721201</v>
      </c>
      <c r="K26" s="51"/>
      <c r="L26" s="51"/>
      <c r="M26" s="51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286" t="s">
        <v>33</v>
      </c>
      <c r="AB26" s="286" t="s">
        <v>24</v>
      </c>
      <c r="AC26" s="287">
        <f>IF('Ship Data Imperial'!E27&gt;0,'Ship Data Imperial'!E27,AD26)</f>
        <v>0</v>
      </c>
      <c r="AD26" s="287">
        <f>'Ship Data Metric'!E27*0.03280839895</f>
        <v>0</v>
      </c>
      <c r="AE26" s="284">
        <f>IF(AC26&gt;0,Standing!$C$75*0.45,0)</f>
        <v>0</v>
      </c>
      <c r="AF26" s="280">
        <f>IF(AC26&gt;0,Standing!$C$75*0.25,0)</f>
        <v>0</v>
      </c>
      <c r="AG26" s="281">
        <f>IF(AC26&gt;0,Standing!$C$75*0.165,0)</f>
        <v>0</v>
      </c>
      <c r="AH26" s="282">
        <f>IF(AC26&gt;0,Standing!$C$75*0.5,0)</f>
        <v>0</v>
      </c>
      <c r="AI26" s="283">
        <f>IF(AC26&gt;0,Standing!$C$75*0.16,0)</f>
        <v>0</v>
      </c>
      <c r="AJ26" s="284">
        <f>IF(AC26&gt;0,Standing!$C$75*0.2,0)</f>
        <v>0</v>
      </c>
      <c r="AK26" s="281">
        <f>IF(AC26&gt;0,Standing!$C$81*0.5,0)</f>
        <v>0</v>
      </c>
      <c r="AL26" s="282">
        <f t="shared" si="1"/>
        <v>0</v>
      </c>
      <c r="AM26" s="283">
        <f>IF(AC26&gt;0,Standing!$C$81*0.5,0)</f>
        <v>0</v>
      </c>
      <c r="AN26" s="284">
        <f>IF(AC26&gt;0,Standing!$C$81*0.45,0)</f>
        <v>0</v>
      </c>
      <c r="AO26" s="280">
        <f>IF(AC26&gt;0,Standing!$C$81*0.3,0)</f>
        <v>0</v>
      </c>
      <c r="AP26" s="281">
        <f>IF(AC26&gt;0,Standing!$C$81,0)</f>
        <v>0</v>
      </c>
      <c r="AQ26" s="282">
        <f>IF(AC26&gt;0,Standing!$C$85,0)</f>
        <v>0</v>
      </c>
      <c r="AR26" s="283">
        <f>IF(AC26&gt;0,Standing!$C$85*0.8,0)</f>
        <v>0</v>
      </c>
      <c r="AS26" s="284">
        <f>IF(AC26&gt;0,Standing!$C$85*0.66,0)</f>
        <v>0</v>
      </c>
      <c r="AT26" s="280">
        <f>IF(AC26&gt;0,Standing!$C$85*0.5,0)</f>
        <v>0</v>
      </c>
      <c r="AU26" s="281">
        <f>IF(AC26&gt;0,Standing!$C$75*0.2,0)</f>
        <v>0</v>
      </c>
      <c r="AV26" s="282">
        <f>IF(AC26&gt;0,Standing!$C$75*0.12,0)</f>
        <v>0</v>
      </c>
      <c r="AW26" s="283">
        <f>IF(AC26&gt;0,Standing!$C$26*0.4,0)</f>
        <v>0</v>
      </c>
      <c r="AX26" s="284">
        <f>IF(AC26&gt;0,Standing!$C$26*0.4,0)</f>
        <v>0</v>
      </c>
      <c r="AY26" s="280">
        <f>IF(AC26&gt;0,Standing!$C$26*0.2,0)</f>
        <v>0</v>
      </c>
      <c r="AZ26" s="281">
        <f>IF(AC26&gt;0,Standing!$C$26*0.33,0)</f>
        <v>0</v>
      </c>
      <c r="BA26" s="282">
        <f>IF(AC26&gt;0,Standing!$C$26*0.2,0)</f>
        <v>0</v>
      </c>
      <c r="BB26" s="283">
        <f>IF(AC26&gt;0,Standing!$C$26*0.2,0)</f>
        <v>0</v>
      </c>
      <c r="BC26" s="284">
        <f>IF(AC26&gt;0,Standing!$C$32*0.4,0)</f>
        <v>0</v>
      </c>
      <c r="BD26" s="280">
        <f>IF(AC26&gt;0,Standing!$C$32*0.5,0)</f>
        <v>0</v>
      </c>
      <c r="BE26" s="281">
        <f>IF(AC26&gt;0,Standing!$C$32*0.33,0)</f>
        <v>0</v>
      </c>
      <c r="BF26" s="282">
        <f>IF(AC26&gt;0,Standing!$C$32*0.33,0)</f>
        <v>0</v>
      </c>
      <c r="BG26" s="283">
        <f>IF(AC26&gt;0,Standing!$C$32*0.33,0)</f>
        <v>0</v>
      </c>
      <c r="BH26" s="284">
        <f>IF(AC26&gt;0,Standing!$C$32*0.33,0)</f>
        <v>0</v>
      </c>
      <c r="BI26" s="280">
        <f>IF(AC26&gt;0,Standing!$C$26*0.5,0)</f>
        <v>0</v>
      </c>
      <c r="BJ26" s="281">
        <f>IF(AC26&gt;0,Standing!$C$26*0.5,0)</f>
        <v>0</v>
      </c>
      <c r="BK26" s="282">
        <f>IF(AC26&gt;0,Standing!$C$26*0.5,0)</f>
        <v>0</v>
      </c>
      <c r="BL26" s="283">
        <f>IF(AC26&gt;0,Standing!$C$32,0)</f>
        <v>0</v>
      </c>
      <c r="BM26" s="281">
        <f>IF(AC26&gt;0,Standing!$C$32*0.9,0)</f>
        <v>0</v>
      </c>
      <c r="BN26" s="284">
        <f t="shared" si="2"/>
        <v>0</v>
      </c>
      <c r="BO26" s="282">
        <f>IF(AC26&gt;0,Standing!$C$32*0.5,0)</f>
        <v>0</v>
      </c>
      <c r="BP26" s="280">
        <f>IF(AC26&gt;0,Standing!$C$32*0.5,0)</f>
        <v>0</v>
      </c>
      <c r="BQ26" s="281">
        <f>IF(AC26&gt;0,Standing!$C$32*0.5,0)</f>
        <v>0</v>
      </c>
      <c r="BR26" s="282">
        <f>IF(AC26&gt;0,Standing!$C$32*0.4,0)</f>
        <v>0</v>
      </c>
      <c r="BS26" s="283">
        <f>IF(AC26&gt;0,Standing!$C$32*0.33,0)</f>
        <v>0</v>
      </c>
      <c r="BT26" s="284">
        <f>IF(AC26&gt;0,Standing!$C$32*0.3,0)</f>
        <v>0</v>
      </c>
      <c r="BU26" s="280">
        <f>IF(AC26&gt;0,Standing!$C$36,0)</f>
        <v>0</v>
      </c>
      <c r="BV26" s="281">
        <f>IF(AC26&gt;0,Standing!$C$36*0.66,0)</f>
        <v>0</v>
      </c>
      <c r="BW26" s="282">
        <f>IF(AC26&gt;0,Standing!$C$126*0.75,0)</f>
        <v>0</v>
      </c>
      <c r="BX26" s="283">
        <f>IF(AC26&gt;0,Standing!$C$126*0.66,0)</f>
        <v>0</v>
      </c>
      <c r="BY26" s="284">
        <f>IF(AC26&gt;0,Standing!$C$126*0.66,0)</f>
        <v>0</v>
      </c>
      <c r="BZ26" s="280">
        <f>IF(AC26&gt;0,Standing!$C$126*0.375,0)</f>
        <v>0</v>
      </c>
      <c r="CA26" s="281">
        <f>IF(AC26&gt;0,Standing!$C$132,0)</f>
        <v>0</v>
      </c>
      <c r="CB26" s="282">
        <f>IF(AC26&gt;0,Standing!$C$132*0.75,0)</f>
        <v>0</v>
      </c>
      <c r="CC26" s="283">
        <f>IF(AC26&gt;0,Standing!$C$132,0)</f>
        <v>0</v>
      </c>
      <c r="CD26" s="284">
        <f>IF(AC26&gt;0,Standing!$C$132*0.66,0)</f>
        <v>0</v>
      </c>
      <c r="CE26" s="280">
        <f>IF(AC26&gt;0,Standing!$C$132*0.4,0)</f>
        <v>0</v>
      </c>
      <c r="CF26" s="281">
        <f>IF(AC26&gt;0,Standing!$C$132*0.75,0)</f>
        <v>0</v>
      </c>
      <c r="CG26" s="282">
        <f>IF(AC26&gt;0,Standing!$C$132*0.66,0)</f>
        <v>0</v>
      </c>
      <c r="CH26" s="283">
        <f>IF(AC26&gt;0,Standing!$C$132*0.75,0)</f>
        <v>0</v>
      </c>
      <c r="CI26" s="284">
        <f>IF(AC26&gt;0,Standing!$C$132*0.66,0)</f>
        <v>0</v>
      </c>
      <c r="CJ26" s="280">
        <f>IF(AC26&gt;0,Standing!$C$132*0.66,0)</f>
        <v>0</v>
      </c>
      <c r="CK26" s="281">
        <f>IF(AC26&gt;0,Standing!$C$126*0.75,0)</f>
        <v>0</v>
      </c>
      <c r="CL26" s="282">
        <f>IF(AC26&gt;0,Standing!$C$126,0)</f>
        <v>0</v>
      </c>
      <c r="CM26" s="283">
        <f>IF(AC26&gt;0,Standing!$C$126,0)</f>
        <v>0</v>
      </c>
      <c r="CN26" s="284">
        <f>IF(AC26&gt;0,Standing!$C$126*0.66,0)</f>
        <v>0</v>
      </c>
      <c r="CO26" s="280">
        <f>IF(AC26&gt;0,Standing!$C$126*0.4,0)</f>
        <v>0</v>
      </c>
      <c r="CP26" s="281">
        <f>IF(AC26&gt;0,Standing!$C$26*0.25,0)</f>
        <v>0</v>
      </c>
      <c r="CQ26" s="282">
        <f>IF(AC26&gt;0,Standing!$C$26*0.165,0)</f>
        <v>0</v>
      </c>
      <c r="CR26" s="283">
        <f>IF(AC26&gt;0,Standing!$C$26*0.2,0)</f>
        <v>0</v>
      </c>
      <c r="CS26" s="285">
        <f>IF(AC26&gt;0,Standing!$C$26*0.16,0)</f>
        <v>0</v>
      </c>
      <c r="CT26" s="286" t="s">
        <v>33</v>
      </c>
      <c r="CU26" s="286" t="s">
        <v>24</v>
      </c>
    </row>
    <row r="27" ht="15.75" customHeight="1">
      <c r="A27" s="51"/>
      <c r="B27" s="290" t="s">
        <v>482</v>
      </c>
      <c r="C27" s="119">
        <f>BF136</f>
        <v>0.9724281496</v>
      </c>
      <c r="D27" s="218">
        <f t="shared" si="3"/>
        <v>0.3095327698</v>
      </c>
      <c r="E27" s="190">
        <f t="shared" si="4"/>
        <v>24.699675</v>
      </c>
      <c r="F27" s="122">
        <f t="shared" si="5"/>
        <v>7.862132353</v>
      </c>
      <c r="G27" s="123">
        <f>C27/Introduction!$I$20</f>
        <v>0.01012945989</v>
      </c>
      <c r="H27" s="192">
        <f t="shared" si="6"/>
        <v>0.003224299685</v>
      </c>
      <c r="I27" s="124">
        <f>E27/Introduction!$I$20</f>
        <v>0.2572882812</v>
      </c>
      <c r="J27" s="125">
        <f t="shared" si="7"/>
        <v>0.08189721201</v>
      </c>
      <c r="K27" s="51"/>
      <c r="L27" s="51"/>
      <c r="M27" s="51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286"/>
      <c r="AB27" s="286" t="s">
        <v>25</v>
      </c>
      <c r="AC27" s="287">
        <f>IF('Ship Data Imperial'!E28&gt;0,'Ship Data Imperial'!E28,AD27)</f>
        <v>0</v>
      </c>
      <c r="AD27" s="287">
        <f>'Ship Data Metric'!E28*0.03280839895</f>
        <v>0</v>
      </c>
      <c r="AE27" s="284">
        <f>IF(AC27&gt;0,Standing!$C$75*0.45,0)</f>
        <v>0</v>
      </c>
      <c r="AF27" s="280">
        <f>IF(AC27&gt;0,Standing!$C$75*0.25,0)</f>
        <v>0</v>
      </c>
      <c r="AG27" s="281">
        <f>IF(AC27&gt;0,Standing!$C$75*0.165,0)</f>
        <v>0</v>
      </c>
      <c r="AH27" s="282">
        <f>IF(AC27&gt;0,Standing!$C$75*0.5,0)</f>
        <v>0</v>
      </c>
      <c r="AI27" s="283">
        <f>IF(AC27&gt;0,Standing!$C$75*0.16,0)</f>
        <v>0</v>
      </c>
      <c r="AJ27" s="284">
        <f>IF(AC27&gt;0,Standing!$C$75*0.2,0)</f>
        <v>0</v>
      </c>
      <c r="AK27" s="281">
        <f>IF(AC27&gt;0,Standing!$C$81*0.5,0)</f>
        <v>0</v>
      </c>
      <c r="AL27" s="282">
        <f t="shared" si="1"/>
        <v>0</v>
      </c>
      <c r="AM27" s="283">
        <f>IF(AC27&gt;0,Standing!$C$81*0.5,0)</f>
        <v>0</v>
      </c>
      <c r="AN27" s="284">
        <f>IF(AC27&gt;0,Standing!$C$81*0.45,0)</f>
        <v>0</v>
      </c>
      <c r="AO27" s="280">
        <f>IF(AC27&gt;0,Standing!$C$81*0.3,0)</f>
        <v>0</v>
      </c>
      <c r="AP27" s="281">
        <f>IF(AC27&gt;0,Standing!$C$81,0)</f>
        <v>0</v>
      </c>
      <c r="AQ27" s="282">
        <f>IF(AC27&gt;0,Standing!$C$85,0)</f>
        <v>0</v>
      </c>
      <c r="AR27" s="283">
        <f>IF(AC27&gt;0,Standing!$C$85*0.8,0)</f>
        <v>0</v>
      </c>
      <c r="AS27" s="284">
        <f>IF(AC27&gt;0,Standing!$C$85*0.66,0)</f>
        <v>0</v>
      </c>
      <c r="AT27" s="280">
        <f>IF(AC27&gt;0,Standing!$C$85*0.5,0)</f>
        <v>0</v>
      </c>
      <c r="AU27" s="281">
        <f>IF(AC27&gt;0,Standing!$C$75*0.2,0)</f>
        <v>0</v>
      </c>
      <c r="AV27" s="282">
        <f>IF(AC27&gt;0,Standing!$C$75*0.12,0)</f>
        <v>0</v>
      </c>
      <c r="AW27" s="283">
        <f>IF(AC27&gt;0,Standing!$C$26*0.4,0)</f>
        <v>0</v>
      </c>
      <c r="AX27" s="284">
        <f>IF(AC27&gt;0,Standing!$C$26*0.4,0)</f>
        <v>0</v>
      </c>
      <c r="AY27" s="280">
        <f>IF(AC27&gt;0,Standing!$C$26*0.2,0)</f>
        <v>0</v>
      </c>
      <c r="AZ27" s="281">
        <f>IF(AC27&gt;0,Standing!$C$26*0.33,0)</f>
        <v>0</v>
      </c>
      <c r="BA27" s="282">
        <f>IF(AC27&gt;0,Standing!$C$26*0.2,0)</f>
        <v>0</v>
      </c>
      <c r="BB27" s="283">
        <f>IF(AC27&gt;0,Standing!$C$26*0.2,0)</f>
        <v>0</v>
      </c>
      <c r="BC27" s="284">
        <f>IF(AC27&gt;0,Standing!$C$32*0.4,0)</f>
        <v>0</v>
      </c>
      <c r="BD27" s="280">
        <f>IF(AC27&gt;0,Standing!$C$32*0.5,0)</f>
        <v>0</v>
      </c>
      <c r="BE27" s="281">
        <f>IF(AC27&gt;0,Standing!$C$32*0.33,0)</f>
        <v>0</v>
      </c>
      <c r="BF27" s="282">
        <f>IF(AC27&gt;0,Standing!$C$32*0.33,0)</f>
        <v>0</v>
      </c>
      <c r="BG27" s="283">
        <f>IF(AC27&gt;0,Standing!$C$32*0.33,0)</f>
        <v>0</v>
      </c>
      <c r="BH27" s="284">
        <f>IF(AC27&gt;0,Standing!$C$32*0.33,0)</f>
        <v>0</v>
      </c>
      <c r="BI27" s="280">
        <f>IF(AC27&gt;0,Standing!$C$26*0.5,0)</f>
        <v>0</v>
      </c>
      <c r="BJ27" s="281">
        <f>IF(AC27&gt;0,Standing!$C$26*0.5,0)</f>
        <v>0</v>
      </c>
      <c r="BK27" s="282">
        <f>IF(AC27&gt;0,Standing!$C$26*0.5,0)</f>
        <v>0</v>
      </c>
      <c r="BL27" s="283">
        <f>IF(AC27&gt;0,Standing!$C$32,0)</f>
        <v>0</v>
      </c>
      <c r="BM27" s="281">
        <f>IF(AC27&gt;0,Standing!$C$32*0.9,0)</f>
        <v>0</v>
      </c>
      <c r="BN27" s="284">
        <f t="shared" si="2"/>
        <v>0</v>
      </c>
      <c r="BO27" s="282">
        <f>IF(AC27&gt;0,Standing!$C$32*0.5,0)</f>
        <v>0</v>
      </c>
      <c r="BP27" s="280">
        <f>IF(AC27&gt;0,Standing!$C$32*0.5,0)</f>
        <v>0</v>
      </c>
      <c r="BQ27" s="281">
        <f>IF(AC27&gt;0,Standing!$C$32*0.5,0)</f>
        <v>0</v>
      </c>
      <c r="BR27" s="282">
        <f>IF(AC27&gt;0,Standing!$C$32*0.4,0)</f>
        <v>0</v>
      </c>
      <c r="BS27" s="283">
        <f>IF(AC27&gt;0,Standing!$C$32*0.33,0)</f>
        <v>0</v>
      </c>
      <c r="BT27" s="284">
        <f>IF(AC27&gt;0,Standing!$C$32*0.3,0)</f>
        <v>0</v>
      </c>
      <c r="BU27" s="280">
        <f>IF(AC27&gt;0,Standing!$C$36,0)</f>
        <v>0</v>
      </c>
      <c r="BV27" s="281">
        <f>IF(AC27&gt;0,Standing!$C$36*0.66,0)</f>
        <v>0</v>
      </c>
      <c r="BW27" s="282">
        <f>IF(AC27&gt;0,Standing!$C$126*0.75,0)</f>
        <v>0</v>
      </c>
      <c r="BX27" s="283">
        <f>IF(AC27&gt;0,Standing!$C$126*0.66,0)</f>
        <v>0</v>
      </c>
      <c r="BY27" s="284">
        <f>IF(AC27&gt;0,Standing!$C$126*0.66,0)</f>
        <v>0</v>
      </c>
      <c r="BZ27" s="280">
        <f>IF(AC27&gt;0,Standing!$C$126*0.375,0)</f>
        <v>0</v>
      </c>
      <c r="CA27" s="281">
        <f>IF(AC27&gt;0,Standing!$C$132,0)</f>
        <v>0</v>
      </c>
      <c r="CB27" s="282">
        <f>IF(AC27&gt;0,Standing!$C$132*0.75,0)</f>
        <v>0</v>
      </c>
      <c r="CC27" s="283">
        <f>IF(AC27&gt;0,Standing!$C$132,0)</f>
        <v>0</v>
      </c>
      <c r="CD27" s="284">
        <f>IF(AC27&gt;0,Standing!$C$132*0.66,0)</f>
        <v>0</v>
      </c>
      <c r="CE27" s="280">
        <f>IF(AC27&gt;0,Standing!$C$132*0.4,0)</f>
        <v>0</v>
      </c>
      <c r="CF27" s="281">
        <f>IF(AC27&gt;0,Standing!$C$132*0.75,0)</f>
        <v>0</v>
      </c>
      <c r="CG27" s="282">
        <f>IF(AC27&gt;0,Standing!$C$132*0.66,0)</f>
        <v>0</v>
      </c>
      <c r="CH27" s="283">
        <f>IF(AC27&gt;0,Standing!$C$132*0.75,0)</f>
        <v>0</v>
      </c>
      <c r="CI27" s="284">
        <f>IF(AC27&gt;0,Standing!$C$132*0.66,0)</f>
        <v>0</v>
      </c>
      <c r="CJ27" s="280">
        <f>IF(AC27&gt;0,Standing!$C$132*0.66,0)</f>
        <v>0</v>
      </c>
      <c r="CK27" s="281">
        <f>IF(AC27&gt;0,Standing!$C$126*0.75,0)</f>
        <v>0</v>
      </c>
      <c r="CL27" s="282">
        <f>IF(AC27&gt;0,Standing!$C$126,0)</f>
        <v>0</v>
      </c>
      <c r="CM27" s="283">
        <f>IF(AC27&gt;0,Standing!$C$126,0)</f>
        <v>0</v>
      </c>
      <c r="CN27" s="284">
        <f>IF(AC27&gt;0,Standing!$C$126*0.66,0)</f>
        <v>0</v>
      </c>
      <c r="CO27" s="280">
        <f>IF(AC27&gt;0,Standing!$C$126*0.4,0)</f>
        <v>0</v>
      </c>
      <c r="CP27" s="281">
        <f>IF(AC27&gt;0,Standing!$C$26*0.25,0)</f>
        <v>0</v>
      </c>
      <c r="CQ27" s="282">
        <f>IF(AC27&gt;0,Standing!$C$26*0.165,0)</f>
        <v>0</v>
      </c>
      <c r="CR27" s="283">
        <f>IF(AC27&gt;0,Standing!$C$26*0.2,0)</f>
        <v>0</v>
      </c>
      <c r="CS27" s="285">
        <f>IF(AC27&gt;0,Standing!$C$26*0.16,0)</f>
        <v>0</v>
      </c>
      <c r="CT27" s="286"/>
      <c r="CU27" s="286" t="s">
        <v>25</v>
      </c>
    </row>
    <row r="28" ht="15.75" customHeight="1">
      <c r="A28" s="51"/>
      <c r="B28" s="290" t="s">
        <v>483</v>
      </c>
      <c r="C28" s="119">
        <f>C25</f>
        <v>0.9724281496</v>
      </c>
      <c r="D28" s="218">
        <f t="shared" si="3"/>
        <v>0.3095327698</v>
      </c>
      <c r="E28" s="190">
        <f t="shared" si="4"/>
        <v>24.699675</v>
      </c>
      <c r="F28" s="122">
        <f t="shared" si="5"/>
        <v>7.862132353</v>
      </c>
      <c r="G28" s="123">
        <f>C28/Introduction!$I$20</f>
        <v>0.01012945989</v>
      </c>
      <c r="H28" s="192">
        <f t="shared" si="6"/>
        <v>0.003224299685</v>
      </c>
      <c r="I28" s="124">
        <f>E28/Introduction!$I$20</f>
        <v>0.2572882812</v>
      </c>
      <c r="J28" s="125">
        <f t="shared" si="7"/>
        <v>0.08189721201</v>
      </c>
      <c r="K28" s="51"/>
      <c r="L28" s="51"/>
      <c r="M28" s="51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286"/>
      <c r="AB28" s="286" t="s">
        <v>26</v>
      </c>
      <c r="AC28" s="287">
        <f>IF('Ship Data Imperial'!E29&gt;0,'Ship Data Imperial'!E29,AD28)</f>
        <v>0</v>
      </c>
      <c r="AD28" s="287">
        <f>'Ship Data Metric'!E29*0.03280839895</f>
        <v>0</v>
      </c>
      <c r="AE28" s="284">
        <f>IF(AC28&gt;0,Standing!$C$75*0.45,0)</f>
        <v>0</v>
      </c>
      <c r="AF28" s="280">
        <f>IF(AC28&gt;0,Standing!$C$75*0.25,0)</f>
        <v>0</v>
      </c>
      <c r="AG28" s="281">
        <f>IF(AC28&gt;0,Standing!$C$75*0.2,0)</f>
        <v>0</v>
      </c>
      <c r="AH28" s="282">
        <f>IF(AC28&gt;0,Standing!$C$75*0.5,0)</f>
        <v>0</v>
      </c>
      <c r="AI28" s="283">
        <f>IF(AC28&gt;0,Standing!$C$75*0.2,0)</f>
        <v>0</v>
      </c>
      <c r="AJ28" s="284">
        <f>IF(AC28&gt;0,Standing!$C$75*0.25,0)</f>
        <v>0</v>
      </c>
      <c r="AK28" s="281">
        <f>IF(AC28&gt;0,Standing!$C$81*0.5,0)</f>
        <v>0</v>
      </c>
      <c r="AL28" s="282">
        <f t="shared" si="1"/>
        <v>0</v>
      </c>
      <c r="AM28" s="283">
        <f>IF(AC28&gt;0,Standing!$C$81*0.66,0)</f>
        <v>0</v>
      </c>
      <c r="AN28" s="284">
        <f>IF(AC28&gt;0,Standing!$C$81*0.45,0)</f>
        <v>0</v>
      </c>
      <c r="AO28" s="280">
        <f>IF(AC28&gt;0,Standing!$C$81*0.3,0)</f>
        <v>0</v>
      </c>
      <c r="AP28" s="281">
        <f>IF(AC28&gt;0,Standing!$C$81*0.9,0)</f>
        <v>0</v>
      </c>
      <c r="AQ28" s="282">
        <f>IF(AC28&gt;0,Standing!$C$85,0)</f>
        <v>0</v>
      </c>
      <c r="AR28" s="283">
        <f>IF(AC28&gt;0,Standing!$C$85*0.8,0)</f>
        <v>0</v>
      </c>
      <c r="AS28" s="284">
        <f>IF(AC28&gt;0,Standing!$C$85*0.66,0)</f>
        <v>0</v>
      </c>
      <c r="AT28" s="280">
        <f>IF(AC28&gt;0,Standing!$C$85*0.5,0)</f>
        <v>0</v>
      </c>
      <c r="AU28" s="281">
        <f>IF(AC28&gt;0,Standing!$C$75*0.2,0)</f>
        <v>0</v>
      </c>
      <c r="AV28" s="282">
        <f>IF(AC28&gt;0,Standing!$C$75*0.12,0)</f>
        <v>0</v>
      </c>
      <c r="AW28" s="283">
        <f>IF(AC28&gt;0,Standing!$C$26*0.4,0)</f>
        <v>0</v>
      </c>
      <c r="AX28" s="284">
        <f>IF(AC28&gt;0,Standing!$C$26*0.4,0)</f>
        <v>0</v>
      </c>
      <c r="AY28" s="280">
        <f>IF(AC28&gt;0,Standing!$C$26*0.2,0)</f>
        <v>0</v>
      </c>
      <c r="AZ28" s="281">
        <f>IF(AC28&gt;0,Standing!$C$26*0.33,0)</f>
        <v>0</v>
      </c>
      <c r="BA28" s="282">
        <f>IF(AC28&gt;0,Standing!$C$26*0.2,0)</f>
        <v>0</v>
      </c>
      <c r="BB28" s="283">
        <f>IF(AC28&gt;0,Standing!$C$26*0.2,0)</f>
        <v>0</v>
      </c>
      <c r="BC28" s="284">
        <f>IF(AC28&gt;0,Standing!$C$32*0.4,0)</f>
        <v>0</v>
      </c>
      <c r="BD28" s="280">
        <f>IF(AC28&gt;0,Standing!$C$32*0.5,0)</f>
        <v>0</v>
      </c>
      <c r="BE28" s="281">
        <f>IF(AC28&gt;0,Standing!$C$32*0.33,0)</f>
        <v>0</v>
      </c>
      <c r="BF28" s="282">
        <f>IF(AC28&gt;0,Standing!$C$32*0.33,0)</f>
        <v>0</v>
      </c>
      <c r="BG28" s="283">
        <f>IF(AC28&gt;0,Standing!$C$32*0.33,0)</f>
        <v>0</v>
      </c>
      <c r="BH28" s="284">
        <f>IF(AC28&gt;0,Standing!$C$32*0.4,0)</f>
        <v>0</v>
      </c>
      <c r="BI28" s="280">
        <f>IF(AC28&gt;0,Standing!$C$26*0.5,0)</f>
        <v>0</v>
      </c>
      <c r="BJ28" s="281">
        <f>IF(AC28&gt;0,Standing!$C$26*0.5,0)</f>
        <v>0</v>
      </c>
      <c r="BK28" s="282">
        <f>IF(AC28&gt;0,Standing!$C$26*0.5,0)</f>
        <v>0</v>
      </c>
      <c r="BL28" s="283">
        <f>IF(AC28&gt;0,Standing!$C$32,0)</f>
        <v>0</v>
      </c>
      <c r="BM28" s="281">
        <f>IF(AC28&gt;0,Standing!$C$32*0.85,0)</f>
        <v>0</v>
      </c>
      <c r="BN28" s="284">
        <f t="shared" si="2"/>
        <v>0</v>
      </c>
      <c r="BO28" s="282">
        <f>IF(AC28&gt;0,Standing!$C$32*0.5,0)</f>
        <v>0</v>
      </c>
      <c r="BP28" s="280">
        <f>IF(AC28&gt;0,Standing!$C$32*0.5,0)</f>
        <v>0</v>
      </c>
      <c r="BQ28" s="281">
        <f>IF(AC28&gt;0,Standing!$C$32*0.5,0)</f>
        <v>0</v>
      </c>
      <c r="BR28" s="282">
        <f>IF(AC28&gt;0,Standing!$C$32*0.4,0)</f>
        <v>0</v>
      </c>
      <c r="BS28" s="283">
        <f>IF(AC28&gt;0,Standing!$C$32*0.33,0)</f>
        <v>0</v>
      </c>
      <c r="BT28" s="284">
        <f>IF(AC28&gt;0,Standing!$C$32*0.3,0)</f>
        <v>0</v>
      </c>
      <c r="BU28" s="280">
        <f>IF(AC28&gt;0,Standing!$C$36,0)</f>
        <v>0</v>
      </c>
      <c r="BV28" s="281">
        <f>IF(AC28&gt;0,Standing!$C$36*0.66,0)</f>
        <v>0</v>
      </c>
      <c r="BW28" s="282">
        <f>IF(AC28&gt;0,Standing!$C$126*0.75,0)</f>
        <v>0</v>
      </c>
      <c r="BX28" s="283">
        <f>IF(AC28&gt;0,Standing!$C$126*0.66,0)</f>
        <v>0</v>
      </c>
      <c r="BY28" s="284">
        <f>IF(AC28&gt;0,Standing!$C$126*0.66,0)</f>
        <v>0</v>
      </c>
      <c r="BZ28" s="280">
        <f>IF(AC28&gt;0,Standing!$C$126*0.375,0)</f>
        <v>0</v>
      </c>
      <c r="CA28" s="281">
        <f>IF(AC28&gt;0,Standing!$C$132,0)</f>
        <v>0</v>
      </c>
      <c r="CB28" s="282">
        <f>IF(AC28&gt;0,Standing!$C$132*0.75,0)</f>
        <v>0</v>
      </c>
      <c r="CC28" s="283">
        <f>IF(AC28&gt;0,Standing!$C$132,0)</f>
        <v>0</v>
      </c>
      <c r="CD28" s="284">
        <f>IF(AC28&gt;0,Standing!$C$132*0.66,0)</f>
        <v>0</v>
      </c>
      <c r="CE28" s="280">
        <f>IF(AC28&gt;0,Standing!$C$132*0.4,0)</f>
        <v>0</v>
      </c>
      <c r="CF28" s="281">
        <f>IF(AC28&gt;0,Standing!$C$132*0.75,0)</f>
        <v>0</v>
      </c>
      <c r="CG28" s="282">
        <f>IF(AC28&gt;0,Standing!$C$132*0.66,0)</f>
        <v>0</v>
      </c>
      <c r="CH28" s="283">
        <f>IF(AC28&gt;0,Standing!$C$132*0.75,0)</f>
        <v>0</v>
      </c>
      <c r="CI28" s="284">
        <f>IF(AC28&gt;0,Standing!$C$132*0.66,0)</f>
        <v>0</v>
      </c>
      <c r="CJ28" s="280">
        <f>IF(AC28&gt;0,Standing!$C$132*0.66,0)</f>
        <v>0</v>
      </c>
      <c r="CK28" s="281">
        <f>IF(AC28&gt;0,Standing!$C$126*0.75,0)</f>
        <v>0</v>
      </c>
      <c r="CL28" s="282">
        <f>IF(AC28&gt;0,Standing!$C$126,0)</f>
        <v>0</v>
      </c>
      <c r="CM28" s="283">
        <f>IF(AC28&gt;0,Standing!$C$126,0)</f>
        <v>0</v>
      </c>
      <c r="CN28" s="284">
        <f>IF(AC28&gt;0,Standing!$C$126*0.66,0)</f>
        <v>0</v>
      </c>
      <c r="CO28" s="280">
        <f>IF(AC28&gt;0,Standing!$C$126*0.4,0)</f>
        <v>0</v>
      </c>
      <c r="CP28" s="281">
        <f>IF(AC28&gt;0,Standing!$C$26*0.25,0)</f>
        <v>0</v>
      </c>
      <c r="CQ28" s="282">
        <f>IF(AC28&gt;0,Standing!$C$26*0.2,0)</f>
        <v>0</v>
      </c>
      <c r="CR28" s="283">
        <f>IF(AC28&gt;0,Standing!$C$26*0.25,0)</f>
        <v>0</v>
      </c>
      <c r="CS28" s="285">
        <f>IF(AC28&gt;0,Standing!$C$26*0.2,0)</f>
        <v>0</v>
      </c>
      <c r="CT28" s="286"/>
      <c r="CU28" s="286" t="s">
        <v>26</v>
      </c>
    </row>
    <row r="29" ht="15.75" customHeight="1">
      <c r="A29" s="51"/>
      <c r="B29" s="290" t="s">
        <v>484</v>
      </c>
      <c r="C29" s="119">
        <f>IF(BG136&gt;1,BG136,1)</f>
        <v>1</v>
      </c>
      <c r="D29" s="218">
        <f t="shared" si="3"/>
        <v>0.3183091418</v>
      </c>
      <c r="E29" s="190">
        <f t="shared" si="4"/>
        <v>25.4</v>
      </c>
      <c r="F29" s="122">
        <f t="shared" si="5"/>
        <v>8.085052203</v>
      </c>
      <c r="G29" s="123">
        <f>C29/Introduction!$I$20</f>
        <v>0.01041666667</v>
      </c>
      <c r="H29" s="192">
        <f t="shared" si="6"/>
        <v>0.003315720227</v>
      </c>
      <c r="I29" s="124">
        <f>E29/Introduction!$I$20</f>
        <v>0.2645833333</v>
      </c>
      <c r="J29" s="125">
        <f t="shared" si="7"/>
        <v>0.08421929378</v>
      </c>
      <c r="K29" s="51"/>
      <c r="L29" s="51"/>
      <c r="M29" s="51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286"/>
      <c r="AB29" s="286" t="s">
        <v>27</v>
      </c>
      <c r="AC29" s="287">
        <f>IF('Ship Data Imperial'!E30&gt;0,'Ship Data Imperial'!E30,AD29)</f>
        <v>0</v>
      </c>
      <c r="AD29" s="287">
        <f>'Ship Data Metric'!E30*0.03280839895</f>
        <v>0</v>
      </c>
      <c r="AE29" s="284">
        <f>IF(AC29&gt;0,Standing!$C$75*0.45,0)</f>
        <v>0</v>
      </c>
      <c r="AF29" s="280">
        <f>IF(AC29&gt;0,Standing!$C$75*0.33,0)</f>
        <v>0</v>
      </c>
      <c r="AG29" s="281">
        <f>IF(AC29&gt;0,Standing!$C$75*0.2,0)</f>
        <v>0</v>
      </c>
      <c r="AH29" s="282">
        <f>IF(AC29&gt;0,Standing!$C$75*0.5,0)</f>
        <v>0</v>
      </c>
      <c r="AI29" s="283">
        <f>IF(AC29&gt;0,Standing!$C$75*0.2,0)</f>
        <v>0</v>
      </c>
      <c r="AJ29" s="284">
        <f>IF(AC29&gt;0,Standing!$C$75*0.25,0)</f>
        <v>0</v>
      </c>
      <c r="AK29" s="281">
        <f>IF(AC29&gt;0,Standing!$C$81*0.5,0)</f>
        <v>0</v>
      </c>
      <c r="AL29" s="282">
        <f t="shared" si="1"/>
        <v>0</v>
      </c>
      <c r="AM29" s="283">
        <f>IF(AC29&gt;0,Standing!$C$81*0.66,0)</f>
        <v>0</v>
      </c>
      <c r="AN29" s="284">
        <f>IF(AC29&gt;0,Standing!$C$81*0.45,0)</f>
        <v>0</v>
      </c>
      <c r="AO29" s="280">
        <f>IF(AC29&gt;0,Standing!$C$81*0.3,0)</f>
        <v>0</v>
      </c>
      <c r="AP29" s="281">
        <f>IF(AC29&gt;0,Standing!$C$81*0.9,0)</f>
        <v>0</v>
      </c>
      <c r="AQ29" s="282">
        <f>IF(AC29&gt;0,Standing!$C$85,0)</f>
        <v>0</v>
      </c>
      <c r="AR29" s="283">
        <f>IF(AC29&gt;0,Standing!$C$85*0.8,0)</f>
        <v>0</v>
      </c>
      <c r="AS29" s="284">
        <f>IF(AC29&gt;0,Standing!$C$85*0.66,0)</f>
        <v>0</v>
      </c>
      <c r="AT29" s="280">
        <f>IF(AC29&gt;0,Standing!$C$85*0.5,0)</f>
        <v>0</v>
      </c>
      <c r="AU29" s="281">
        <f>IF(AC29&gt;0,Standing!$C$75*0.25,0)</f>
        <v>0</v>
      </c>
      <c r="AV29" s="282">
        <f>IF(AC29&gt;0,Standing!$C$75*0.12,0)</f>
        <v>0</v>
      </c>
      <c r="AW29" s="283">
        <f>IF(AC29&gt;0,Standing!$C$26*0.4,0)</f>
        <v>0</v>
      </c>
      <c r="AX29" s="284">
        <f>IF(AC29&gt;0,Standing!$C$26*0.4,0)</f>
        <v>0</v>
      </c>
      <c r="AY29" s="280">
        <f>IF(AC29&gt;0,Standing!$C$26*0.2,0)</f>
        <v>0</v>
      </c>
      <c r="AZ29" s="281">
        <f>IF(AC29&gt;0,Standing!$C$26*0.33,0)</f>
        <v>0</v>
      </c>
      <c r="BA29" s="282">
        <f>IF(AC29&gt;0,Standing!$C$26*0.2,0)</f>
        <v>0</v>
      </c>
      <c r="BB29" s="283">
        <f>IF(AC29&gt;0,Standing!$C$26*0.2,0)</f>
        <v>0</v>
      </c>
      <c r="BC29" s="284">
        <f>IF(AC29&gt;0,Standing!$C$32*0.4,0)</f>
        <v>0</v>
      </c>
      <c r="BD29" s="280">
        <f>IF(AC29&gt;0,Standing!$C$32*0.5,0)</f>
        <v>0</v>
      </c>
      <c r="BE29" s="281">
        <f>IF(AC29&gt;0,Standing!$C$32*0.33,0)</f>
        <v>0</v>
      </c>
      <c r="BF29" s="282">
        <f>IF(AC29&gt;0,Standing!$C$32*0.33,0)</f>
        <v>0</v>
      </c>
      <c r="BG29" s="283">
        <f>IF(AC29&gt;0,Standing!$C$32*0.33,0)</f>
        <v>0</v>
      </c>
      <c r="BH29" s="284">
        <f>IF(AC29&gt;0,Standing!$C$32*0.4,0)</f>
        <v>0</v>
      </c>
      <c r="BI29" s="280">
        <f>IF(AC29&gt;0,Standing!$C$26*0.5,0)</f>
        <v>0</v>
      </c>
      <c r="BJ29" s="281">
        <f>IF(AC29&gt;0,Standing!$C$26*0.5,0)</f>
        <v>0</v>
      </c>
      <c r="BK29" s="282">
        <f>IF(AC29&gt;0,Standing!$C$26*0.5,0)</f>
        <v>0</v>
      </c>
      <c r="BL29" s="283">
        <f>IF(AC29&gt;0,Standing!$C$32,0)</f>
        <v>0</v>
      </c>
      <c r="BM29" s="281">
        <f>IF(AC29&gt;0,Standing!$C$32*0.85,0)</f>
        <v>0</v>
      </c>
      <c r="BN29" s="284">
        <f t="shared" si="2"/>
        <v>0</v>
      </c>
      <c r="BO29" s="282">
        <f>IF(AC29&gt;0,Standing!$C$32*0.45,0)</f>
        <v>0</v>
      </c>
      <c r="BP29" s="280">
        <f>IF(AC29&gt;0,Standing!$C$32*0.66,0)</f>
        <v>0</v>
      </c>
      <c r="BQ29" s="281">
        <f>IF(AC29&gt;0,Standing!$C$32*0.5,0)</f>
        <v>0</v>
      </c>
      <c r="BR29" s="282">
        <f>IF(AC29&gt;0,Standing!$C$32*0.4,0)</f>
        <v>0</v>
      </c>
      <c r="BS29" s="283">
        <f>IF(AC29&gt;0,Standing!$C$32*0.33,0)</f>
        <v>0</v>
      </c>
      <c r="BT29" s="284">
        <f>IF(AC29&gt;0,Standing!$C$32*0.3,0)</f>
        <v>0</v>
      </c>
      <c r="BU29" s="280">
        <f>IF(AC29&gt;0,Standing!$C$36,0)</f>
        <v>0</v>
      </c>
      <c r="BV29" s="281">
        <f>IF(AC29&gt;0,Standing!$C$36*0.66,0)</f>
        <v>0</v>
      </c>
      <c r="BW29" s="282">
        <f>IF(AC29&gt;0,Standing!$C$126*0.75,0)</f>
        <v>0</v>
      </c>
      <c r="BX29" s="283">
        <f>IF(AC29&gt;0,Standing!$C$126*0.33,0)</f>
        <v>0</v>
      </c>
      <c r="BY29" s="284">
        <f>IF(AC29&gt;0,Standing!$C$126*0.66,0)</f>
        <v>0</v>
      </c>
      <c r="BZ29" s="280">
        <f>IF(AC29&gt;0,Standing!$C$126*0.375,0)</f>
        <v>0</v>
      </c>
      <c r="CA29" s="281">
        <f>IF(AC29&gt;0,Standing!$C$132,0)</f>
        <v>0</v>
      </c>
      <c r="CB29" s="282">
        <f>IF(AC29&gt;0,Standing!$C$132*0.75,0)</f>
        <v>0</v>
      </c>
      <c r="CC29" s="283">
        <f>IF(AC29&gt;0,Standing!$C$132,0)</f>
        <v>0</v>
      </c>
      <c r="CD29" s="284">
        <f>IF(AC29&gt;0,Standing!$C$132*0.66,0)</f>
        <v>0</v>
      </c>
      <c r="CE29" s="280">
        <f>IF(AC29&gt;0,Standing!$C$132*0.5,0)</f>
        <v>0</v>
      </c>
      <c r="CF29" s="281">
        <f>IF(AC29&gt;0,Standing!$C$132*0.75,0)</f>
        <v>0</v>
      </c>
      <c r="CG29" s="282">
        <f>IF(AC29&gt;0,Standing!$C$132*0.66,0)</f>
        <v>0</v>
      </c>
      <c r="CH29" s="283">
        <f>IF(AC29&gt;0,Standing!$C$132*0.75,0)</f>
        <v>0</v>
      </c>
      <c r="CI29" s="284">
        <f>IF(AC29&gt;0,Standing!$C$132*0.66,0)</f>
        <v>0</v>
      </c>
      <c r="CJ29" s="280">
        <f>IF(AC29&gt;0,Standing!$C$132*0.66,0)</f>
        <v>0</v>
      </c>
      <c r="CK29" s="281">
        <f>IF(AC29&gt;0,Standing!$C$126*0.75,0)</f>
        <v>0</v>
      </c>
      <c r="CL29" s="282">
        <f>IF(AC29&gt;0,Standing!$C$126,0)</f>
        <v>0</v>
      </c>
      <c r="CM29" s="283">
        <f>IF(AC29&gt;0,Standing!$C$126,0)</f>
        <v>0</v>
      </c>
      <c r="CN29" s="284">
        <f>IF(AC29&gt;0,Standing!$C$126*0.66,0)</f>
        <v>0</v>
      </c>
      <c r="CO29" s="280">
        <f>IF(AC29&gt;0,Standing!$C$126*0.4,0)</f>
        <v>0</v>
      </c>
      <c r="CP29" s="281">
        <f>IF(AC29&gt;0,Standing!$C$26*0.33,0)</f>
        <v>0</v>
      </c>
      <c r="CQ29" s="282">
        <f>IF(AC29&gt;0,Standing!$C$26*0.2,0)</f>
        <v>0</v>
      </c>
      <c r="CR29" s="283">
        <f>IF(AC29&gt;0,Standing!$C$26*0.25,0)</f>
        <v>0</v>
      </c>
      <c r="CS29" s="285">
        <f>IF(AC29&gt;0,Standing!$C$26*0.2,0)</f>
        <v>0</v>
      </c>
      <c r="CT29" s="286"/>
      <c r="CU29" s="286" t="s">
        <v>27</v>
      </c>
    </row>
    <row r="30" ht="15.75" customHeight="1">
      <c r="A30" s="51"/>
      <c r="B30" s="290" t="s">
        <v>485</v>
      </c>
      <c r="C30" s="119">
        <f>IF(BH136&gt;2,BH136,2)</f>
        <v>2</v>
      </c>
      <c r="D30" s="218">
        <f t="shared" si="3"/>
        <v>0.6366182837</v>
      </c>
      <c r="E30" s="190">
        <f t="shared" si="4"/>
        <v>50.8</v>
      </c>
      <c r="F30" s="122">
        <f t="shared" si="5"/>
        <v>16.17010441</v>
      </c>
      <c r="G30" s="123">
        <f>C30/Introduction!$I$20</f>
        <v>0.02083333333</v>
      </c>
      <c r="H30" s="192">
        <f t="shared" si="6"/>
        <v>0.006631440455</v>
      </c>
      <c r="I30" s="124">
        <f>E30/Introduction!$I$20</f>
        <v>0.5291666667</v>
      </c>
      <c r="J30" s="125">
        <f t="shared" si="7"/>
        <v>0.1684385876</v>
      </c>
      <c r="K30" s="51"/>
      <c r="L30" s="51"/>
      <c r="M30" s="51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286"/>
      <c r="AB30" s="286" t="s">
        <v>28</v>
      </c>
      <c r="AC30" s="287">
        <f>IF('Ship Data Imperial'!E31&gt;0,'Ship Data Imperial'!E31,AD30)</f>
        <v>0</v>
      </c>
      <c r="AD30" s="287">
        <f>'Ship Data Metric'!E31*0.03280839895</f>
        <v>0</v>
      </c>
      <c r="AE30" s="284">
        <f>IF(AC30&gt;0,Standing!$C$75*0.65,0)</f>
        <v>0</v>
      </c>
      <c r="AF30" s="280">
        <f>IF(AC30&gt;0,Standing!$C$75*0.25,0)</f>
        <v>0</v>
      </c>
      <c r="AG30" s="281">
        <f>IF(AC30&gt;0,Standing!$C$75*0.2,0)</f>
        <v>0</v>
      </c>
      <c r="AH30" s="282">
        <f>IF(AC30&gt;0,Standing!$C$75*0.5,0)</f>
        <v>0</v>
      </c>
      <c r="AI30" s="283">
        <f>IF(AC30&gt;0,Standing!$C$75*0.2,0)</f>
        <v>0</v>
      </c>
      <c r="AJ30" s="284">
        <f>IF(AC30&gt;0,Standing!$C$75*0.25,0)</f>
        <v>0</v>
      </c>
      <c r="AK30" s="281">
        <f>IF(AC30&gt;0,Standing!$C$81*0.5,0)</f>
        <v>0</v>
      </c>
      <c r="AL30" s="282">
        <f t="shared" si="1"/>
        <v>0</v>
      </c>
      <c r="AM30" s="283">
        <f>IF(AC30&gt;0,Standing!$C$81*0.66,0)</f>
        <v>0</v>
      </c>
      <c r="AN30" s="284">
        <f>IF(AC30&gt;0,Standing!$C$81*0.45,0)</f>
        <v>0</v>
      </c>
      <c r="AO30" s="280">
        <f>IF(AC30&gt;0,Standing!$C$81*0.3,0)</f>
        <v>0</v>
      </c>
      <c r="AP30" s="281">
        <f>IF(AC30&gt;0,Standing!$C$81*0.9,0)</f>
        <v>0</v>
      </c>
      <c r="AQ30" s="282">
        <f>IF(AC30&gt;0,Standing!$C$85,0)</f>
        <v>0</v>
      </c>
      <c r="AR30" s="283">
        <f>IF(AC30&gt;0,Standing!$C$85*0.8,0)</f>
        <v>0</v>
      </c>
      <c r="AS30" s="284">
        <f>IF(AC30&gt;0,Standing!$C$85*0.66,0)</f>
        <v>0</v>
      </c>
      <c r="AT30" s="280">
        <f>IF(AC30&gt;0,Standing!$C$85*0.5,0)</f>
        <v>0</v>
      </c>
      <c r="AU30" s="281">
        <f>IF(AC30&gt;0,Standing!$C$75*0.25,0)</f>
        <v>0</v>
      </c>
      <c r="AV30" s="282">
        <f>IF(AC30&gt;0,Standing!$C$75*0.12,0)</f>
        <v>0</v>
      </c>
      <c r="AW30" s="283">
        <f>IF(AC30&gt;0,Standing!$C$26*0.4,0)</f>
        <v>0</v>
      </c>
      <c r="AX30" s="284">
        <f>IF(AC30&gt;0,Standing!$C$26*0.4,0)</f>
        <v>0</v>
      </c>
      <c r="AY30" s="280">
        <f>IF(AC30&gt;0,Standing!$C$26*0.2,0)</f>
        <v>0</v>
      </c>
      <c r="AZ30" s="281">
        <f>IF(AC30&gt;0,Standing!$C$26*0.33,0)</f>
        <v>0</v>
      </c>
      <c r="BA30" s="282">
        <f>IF(AC30&gt;0,Standing!$C$26*0.2,0)</f>
        <v>0</v>
      </c>
      <c r="BB30" s="283">
        <f>IF(AC30&gt;0,Standing!$C$26*0.2,0)</f>
        <v>0</v>
      </c>
      <c r="BC30" s="284">
        <f>IF(AC30&gt;0,Standing!$C$32*0.4,0)</f>
        <v>0</v>
      </c>
      <c r="BD30" s="280">
        <f>IF(AC30&gt;0,Standing!$C$32*0.5,0)</f>
        <v>0</v>
      </c>
      <c r="BE30" s="281">
        <f>IF(AC30&gt;0,Standing!$C$32*0.33,0)</f>
        <v>0</v>
      </c>
      <c r="BF30" s="282">
        <f>IF(AC30&gt;0,Standing!$C$32*0.33,0)</f>
        <v>0</v>
      </c>
      <c r="BG30" s="283">
        <f>IF(AC30&gt;0,Standing!$C$32*0.33,0)</f>
        <v>0</v>
      </c>
      <c r="BH30" s="284">
        <f>IF(AC30&gt;0,Standing!$C$32*0.4,0)</f>
        <v>0</v>
      </c>
      <c r="BI30" s="280">
        <f>IF(AC30&gt;0,Standing!$C$26*0.75,0)</f>
        <v>0</v>
      </c>
      <c r="BJ30" s="281">
        <f>IF(AC30&gt;0,Standing!$C$26*0.5,0)</f>
        <v>0</v>
      </c>
      <c r="BK30" s="282">
        <f>IF(AC30&gt;0,Standing!$C$26*0.5,0)</f>
        <v>0</v>
      </c>
      <c r="BL30" s="283">
        <f>IF(AC30&gt;0,Standing!$C$32,0)</f>
        <v>0</v>
      </c>
      <c r="BM30" s="281">
        <f>IF(AC30&gt;0,Standing!$C$32*0.85,0)</f>
        <v>0</v>
      </c>
      <c r="BN30" s="284">
        <f t="shared" si="2"/>
        <v>0</v>
      </c>
      <c r="BO30" s="282">
        <f>IF(AC30&gt;0,Standing!$C$32*0.45,0)</f>
        <v>0</v>
      </c>
      <c r="BP30" s="280">
        <f>IF(AC30&gt;0,Standing!$C$32*0.66,0)</f>
        <v>0</v>
      </c>
      <c r="BQ30" s="281">
        <f>IF(AC30&gt;0,Standing!$C$32*0.5,0)</f>
        <v>0</v>
      </c>
      <c r="BR30" s="282">
        <f>IF(AC30&gt;0,Standing!$C$32*0.4,0)</f>
        <v>0</v>
      </c>
      <c r="BS30" s="283">
        <f>IF(AC30&gt;0,Standing!$C$32*0.33,0)</f>
        <v>0</v>
      </c>
      <c r="BT30" s="284">
        <f>IF(AC30&gt;0,Standing!$C$32*0.3,0)</f>
        <v>0</v>
      </c>
      <c r="BU30" s="280">
        <f>IF(AC30&gt;0,Standing!$C$36,0)</f>
        <v>0</v>
      </c>
      <c r="BV30" s="281">
        <f>IF(AC30&gt;0,Standing!$C$36*0.66,0)</f>
        <v>0</v>
      </c>
      <c r="BW30" s="282">
        <f>IF(AC30&gt;0,Standing!$C$126*0.75,0)</f>
        <v>0</v>
      </c>
      <c r="BX30" s="283">
        <f>IF(AC30&gt;0,Standing!$C$126*0.33,0)</f>
        <v>0</v>
      </c>
      <c r="BY30" s="284">
        <f>IF(AC30&gt;0,Standing!$C$126*0.66,0)</f>
        <v>0</v>
      </c>
      <c r="BZ30" s="280">
        <f>IF(AC30&gt;0,Standing!$C$126*0.375,0)</f>
        <v>0</v>
      </c>
      <c r="CA30" s="281">
        <f>IF(AC30&gt;0,Standing!$C$132,0)</f>
        <v>0</v>
      </c>
      <c r="CB30" s="282">
        <f>IF(AC30&gt;0,Standing!$C$132*0.75,0)</f>
        <v>0</v>
      </c>
      <c r="CC30" s="283">
        <f>IF(AC30&gt;0,Standing!$C$132,0)</f>
        <v>0</v>
      </c>
      <c r="CD30" s="284">
        <f>IF(AC30&gt;0,Standing!$C$132*0.66,0)</f>
        <v>0</v>
      </c>
      <c r="CE30" s="280">
        <f>IF(AC30&gt;0,Standing!$C$132*0.5,0)</f>
        <v>0</v>
      </c>
      <c r="CF30" s="281">
        <f>IF(AC30&gt;0,Standing!$C$132*0.75,0)</f>
        <v>0</v>
      </c>
      <c r="CG30" s="282">
        <f>IF(AC30&gt;0,Standing!$C$132*0.66,0)</f>
        <v>0</v>
      </c>
      <c r="CH30" s="283">
        <f>IF(AC30&gt;0,Standing!$C$132*0.75,0)</f>
        <v>0</v>
      </c>
      <c r="CI30" s="284">
        <f>IF(AC30&gt;0,Standing!$C$132*0.66,0)</f>
        <v>0</v>
      </c>
      <c r="CJ30" s="280">
        <f>IF(AC30&gt;0,Standing!$C$132*0.66,0)</f>
        <v>0</v>
      </c>
      <c r="CK30" s="281">
        <f>IF(AC30&gt;0,Standing!$C$126*0.75,0)</f>
        <v>0</v>
      </c>
      <c r="CL30" s="282">
        <f>IF(AC30&gt;0,Standing!$C$126,0)</f>
        <v>0</v>
      </c>
      <c r="CM30" s="283">
        <f>IF(AC30&gt;0,Standing!$C$126,0)</f>
        <v>0</v>
      </c>
      <c r="CN30" s="284">
        <f>IF(AC30&gt;0,Standing!$C$126*0.66,0)</f>
        <v>0</v>
      </c>
      <c r="CO30" s="280">
        <f>IF(AC30&gt;0,Standing!$C$126*0.4,0)</f>
        <v>0</v>
      </c>
      <c r="CP30" s="281">
        <f>IF(AC30&gt;0,Standing!$C$26*0.33,0)</f>
        <v>0</v>
      </c>
      <c r="CQ30" s="282">
        <f>IF(AC30&gt;0,Standing!$C$26*0.2,0)</f>
        <v>0</v>
      </c>
      <c r="CR30" s="283">
        <f>IF(AC30&gt;0,Standing!$C$26*0.25,0)</f>
        <v>0</v>
      </c>
      <c r="CS30" s="285">
        <f>IF(AC30&gt;0,Standing!$C$26*0.2,0)</f>
        <v>0</v>
      </c>
      <c r="CT30" s="286"/>
      <c r="CU30" s="286" t="s">
        <v>28</v>
      </c>
    </row>
    <row r="31" ht="15.75" customHeight="1">
      <c r="A31" s="51"/>
      <c r="B31" s="290" t="s">
        <v>486</v>
      </c>
      <c r="C31" s="189">
        <f>IF(Standing!$C$32*0.125&gt;1,Standing!$C$32*0.125,1)</f>
        <v>1</v>
      </c>
      <c r="D31" s="218">
        <f t="shared" si="3"/>
        <v>0.3183091418</v>
      </c>
      <c r="E31" s="190">
        <f t="shared" si="4"/>
        <v>25.4</v>
      </c>
      <c r="F31" s="122">
        <f t="shared" si="5"/>
        <v>8.085052203</v>
      </c>
      <c r="G31" s="123">
        <f>C31/Introduction!$I$20</f>
        <v>0.01041666667</v>
      </c>
      <c r="H31" s="192">
        <f t="shared" si="6"/>
        <v>0.003315720227</v>
      </c>
      <c r="I31" s="124">
        <f>E31/Introduction!$I$20</f>
        <v>0.2645833333</v>
      </c>
      <c r="J31" s="125">
        <f t="shared" si="7"/>
        <v>0.08421929378</v>
      </c>
      <c r="K31" s="51"/>
      <c r="L31" s="51"/>
      <c r="M31" s="51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286"/>
      <c r="AB31" s="286" t="s">
        <v>29</v>
      </c>
      <c r="AC31" s="287">
        <f>IF('Ship Data Imperial'!E32&gt;0,'Ship Data Imperial'!E32,AD31)</f>
        <v>0</v>
      </c>
      <c r="AD31" s="287">
        <f>'Ship Data Metric'!E32*0.03280839895</f>
        <v>0</v>
      </c>
      <c r="AE31" s="284">
        <f>IF(AC31&gt;0,Standing!$C$75*0.65,0)</f>
        <v>0</v>
      </c>
      <c r="AF31" s="280">
        <f>IF(AC31&gt;0,Standing!$C$75*0.25,0)</f>
        <v>0</v>
      </c>
      <c r="AG31" s="281">
        <f>IF(AC31&gt;0,Standing!$C$75*0.2,0)</f>
        <v>0</v>
      </c>
      <c r="AH31" s="282">
        <f>IF(AC31&gt;0,Standing!$C$75*0.5,0)</f>
        <v>0</v>
      </c>
      <c r="AI31" s="283">
        <f>IF(AC31&gt;0,Standing!$C$75*0.2,0)</f>
        <v>0</v>
      </c>
      <c r="AJ31" s="284">
        <f>IF(AC31&gt;0,Standing!$C$75*0.25,0)</f>
        <v>0</v>
      </c>
      <c r="AK31" s="281">
        <f>IF(AC31&gt;0,Standing!$C$81*0.5,0)</f>
        <v>0</v>
      </c>
      <c r="AL31" s="282">
        <f t="shared" si="1"/>
        <v>0</v>
      </c>
      <c r="AM31" s="283">
        <f>IF(AC31&gt;0,Standing!$C$81*0.66,0)</f>
        <v>0</v>
      </c>
      <c r="AN31" s="284">
        <f>IF(AC31&gt;0,Standing!$C$81*0.45,0)</f>
        <v>0</v>
      </c>
      <c r="AO31" s="280">
        <f>IF(AC31&gt;0,Standing!$C$81*0.3,0)</f>
        <v>0</v>
      </c>
      <c r="AP31" s="281">
        <f>IF(AC31&gt;0,Standing!$C$81*0.9,0)</f>
        <v>0</v>
      </c>
      <c r="AQ31" s="282">
        <f>IF(AC31&gt;0,Standing!$C$85,0)</f>
        <v>0</v>
      </c>
      <c r="AR31" s="283">
        <f>IF(AC31&gt;0,Standing!$C$85*0.8,0)</f>
        <v>0</v>
      </c>
      <c r="AS31" s="284">
        <f>IF(AC31&gt;0,Standing!$C$85*0.66,0)</f>
        <v>0</v>
      </c>
      <c r="AT31" s="280">
        <f>IF(AC31&gt;0,Standing!$C$85*0.5,0)</f>
        <v>0</v>
      </c>
      <c r="AU31" s="281">
        <f>IF(AC31&gt;0,Standing!$C$75*0.25,0)</f>
        <v>0</v>
      </c>
      <c r="AV31" s="282">
        <f>IF(AC31&gt;0,Standing!$C$75*0.12,0)</f>
        <v>0</v>
      </c>
      <c r="AW31" s="283">
        <f>IF(AC31&gt;0,Standing!$C$26*0.4,0)</f>
        <v>0</v>
      </c>
      <c r="AX31" s="284">
        <f>IF(AC31&gt;0,Standing!$C$26*0.4,0)</f>
        <v>0</v>
      </c>
      <c r="AY31" s="280">
        <f>IF(AC31&gt;0,Standing!$C$26*0.2,0)</f>
        <v>0</v>
      </c>
      <c r="AZ31" s="281">
        <f>IF(AC31&gt;0,Standing!$C$26*0.33,0)</f>
        <v>0</v>
      </c>
      <c r="BA31" s="282">
        <f>IF(AC31&gt;0,Standing!$C$26*0.2,0)</f>
        <v>0</v>
      </c>
      <c r="BB31" s="283">
        <f>IF(AC31&gt;0,Standing!$C$26*0.2,0)</f>
        <v>0</v>
      </c>
      <c r="BC31" s="284">
        <f>IF(AC31&gt;0,Standing!$C$32*0.4,0)</f>
        <v>0</v>
      </c>
      <c r="BD31" s="280">
        <f>IF(AC31&gt;0,Standing!$C$32*0.5,0)</f>
        <v>0</v>
      </c>
      <c r="BE31" s="281">
        <f>IF(AC31&gt;0,Standing!$C$32*0.33,0)</f>
        <v>0</v>
      </c>
      <c r="BF31" s="282">
        <f>IF(AC31&gt;0,Standing!$C$32*0.33,0)</f>
        <v>0</v>
      </c>
      <c r="BG31" s="283">
        <f>IF(AC31&gt;0,Standing!$C$32*0.33,0)</f>
        <v>0</v>
      </c>
      <c r="BH31" s="284">
        <f>IF(AC31&gt;0,Standing!$C$32*0.4,0)</f>
        <v>0</v>
      </c>
      <c r="BI31" s="280">
        <f>IF(AC31&gt;0,Standing!$C$26*0.75,0)</f>
        <v>0</v>
      </c>
      <c r="BJ31" s="281">
        <f>IF(AC31&gt;0,Standing!$C$26*0.5,0)</f>
        <v>0</v>
      </c>
      <c r="BK31" s="282">
        <f>IF(AC31&gt;0,Standing!$C$26*0.5,0)</f>
        <v>0</v>
      </c>
      <c r="BL31" s="283">
        <f>IF(AC31&gt;0,Standing!$C$32,0)</f>
        <v>0</v>
      </c>
      <c r="BM31" s="281">
        <f>IF(AC31&gt;0,Standing!$C$32*0.85,0)</f>
        <v>0</v>
      </c>
      <c r="BN31" s="284">
        <f t="shared" si="2"/>
        <v>0</v>
      </c>
      <c r="BO31" s="282">
        <f>IF(AC31&gt;0,Standing!$C$32*0.45,0)</f>
        <v>0</v>
      </c>
      <c r="BP31" s="280">
        <f>IF(AC31&gt;0,Standing!$C$32*0.66,0)</f>
        <v>0</v>
      </c>
      <c r="BQ31" s="281">
        <f>IF(AC31&gt;0,Standing!$C$32*0.5,0)</f>
        <v>0</v>
      </c>
      <c r="BR31" s="282">
        <f>IF(AC31&gt;0,Standing!$C$32*0.4,0)</f>
        <v>0</v>
      </c>
      <c r="BS31" s="283">
        <f>IF(AC31&gt;0,Standing!$C$32*0.375,0)</f>
        <v>0</v>
      </c>
      <c r="BT31" s="284">
        <f>IF(AC31&gt;0,Standing!$C$32*0.3,0)</f>
        <v>0</v>
      </c>
      <c r="BU31" s="280">
        <f>IF(AC31&gt;0,Standing!$C$36,0)</f>
        <v>0</v>
      </c>
      <c r="BV31" s="281">
        <f>IF(AC31&gt;0,Standing!$C$36*0.66,0)</f>
        <v>0</v>
      </c>
      <c r="BW31" s="282">
        <f>IF(AC31&gt;0,Standing!$C$126*0.75,0)</f>
        <v>0</v>
      </c>
      <c r="BX31" s="283">
        <f>IF(AC31&gt;0,Standing!$C$126*0.33,0)</f>
        <v>0</v>
      </c>
      <c r="BY31" s="284">
        <f>IF(AC31&gt;0,Standing!$C$126*0.66,0)</f>
        <v>0</v>
      </c>
      <c r="BZ31" s="280">
        <f>IF(AC31&gt;0,Standing!$C$126*0.375,0)</f>
        <v>0</v>
      </c>
      <c r="CA31" s="281">
        <f>IF(AC31&gt;0,Standing!$C$132,0)</f>
        <v>0</v>
      </c>
      <c r="CB31" s="282">
        <f>IF(AC31&gt;0,Standing!$C$132*0.75,0)</f>
        <v>0</v>
      </c>
      <c r="CC31" s="283">
        <f>IF(AC31&gt;0,Standing!$C$132,0)</f>
        <v>0</v>
      </c>
      <c r="CD31" s="284">
        <f>IF(AC31&gt;0,Standing!$C$132*0.66,0)</f>
        <v>0</v>
      </c>
      <c r="CE31" s="280">
        <f>IF(AC31&gt;0,Standing!$C$132*0.5,0)</f>
        <v>0</v>
      </c>
      <c r="CF31" s="281">
        <f>IF(AC31&gt;0,Standing!$C$132*0.75,0)</f>
        <v>0</v>
      </c>
      <c r="CG31" s="282">
        <f>IF(AC31&gt;0,Standing!$C$132*0.66,0)</f>
        <v>0</v>
      </c>
      <c r="CH31" s="283">
        <f>IF(AC31&gt;0,Standing!$C$132*0.75,0)</f>
        <v>0</v>
      </c>
      <c r="CI31" s="284">
        <f>IF(AC31&gt;0,Standing!$C$132*0.66,0)</f>
        <v>0</v>
      </c>
      <c r="CJ31" s="280">
        <f>IF(AC31&gt;0,Standing!$C$132*0.66,0)</f>
        <v>0</v>
      </c>
      <c r="CK31" s="281">
        <f>IF(AC31&gt;0,Standing!$C$126*0.75,0)</f>
        <v>0</v>
      </c>
      <c r="CL31" s="282">
        <f>IF(AC31&gt;0,Standing!$C$126,0)</f>
        <v>0</v>
      </c>
      <c r="CM31" s="283">
        <f>IF(AC31&gt;0,Standing!$C$126,0)</f>
        <v>0</v>
      </c>
      <c r="CN31" s="284">
        <f>IF(AC31&gt;0,Standing!$C$126*0.66,0)</f>
        <v>0</v>
      </c>
      <c r="CO31" s="280">
        <f>IF(AC31&gt;0,Standing!$C$126*0.4,0)</f>
        <v>0</v>
      </c>
      <c r="CP31" s="281">
        <f>IF(AC31&gt;0,Standing!$C$26*0.33,0)</f>
        <v>0</v>
      </c>
      <c r="CQ31" s="282">
        <f>IF(AC31&gt;0,Standing!$C$26*0.2,0)</f>
        <v>0</v>
      </c>
      <c r="CR31" s="283">
        <f>IF(AC31&gt;0,Standing!$C$26*0.25,0)</f>
        <v>0</v>
      </c>
      <c r="CS31" s="285">
        <f>IF(AC31&gt;0,Standing!$C$26*0.2,0)</f>
        <v>0</v>
      </c>
      <c r="CT31" s="286"/>
      <c r="CU31" s="286" t="s">
        <v>29</v>
      </c>
    </row>
    <row r="32" ht="15.75" customHeight="1">
      <c r="A32" s="51"/>
      <c r="B32" s="290" t="s">
        <v>487</v>
      </c>
      <c r="C32" s="189">
        <f>Standing!$C$26*0.3</f>
        <v>1.768051181</v>
      </c>
      <c r="D32" s="218">
        <f t="shared" si="3"/>
        <v>0.5627868542</v>
      </c>
      <c r="E32" s="190">
        <f t="shared" si="4"/>
        <v>44.9085</v>
      </c>
      <c r="F32" s="122">
        <f t="shared" si="5"/>
        <v>14.2947861</v>
      </c>
      <c r="G32" s="123">
        <f>C32/Introduction!$I$20</f>
        <v>0.0184171998</v>
      </c>
      <c r="H32" s="192">
        <f t="shared" si="6"/>
        <v>0.005862363064</v>
      </c>
      <c r="I32" s="124">
        <f>E32/Introduction!$I$20</f>
        <v>0.467796875</v>
      </c>
      <c r="J32" s="125">
        <f t="shared" si="7"/>
        <v>0.1489040218</v>
      </c>
      <c r="K32" s="51"/>
      <c r="L32" s="51"/>
      <c r="M32" s="51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286" t="s">
        <v>34</v>
      </c>
      <c r="AB32" s="286" t="s">
        <v>24</v>
      </c>
      <c r="AC32" s="287">
        <f>IF('Ship Data Imperial'!E33&gt;0,'Ship Data Imperial'!E33,AD32)</f>
        <v>0</v>
      </c>
      <c r="AD32" s="287">
        <f>'Ship Data Metric'!E33*0.03280839895</f>
        <v>0</v>
      </c>
      <c r="AE32" s="284">
        <f>IF(AC32&gt;0,Standing!$C$75*0.45,0)</f>
        <v>0</v>
      </c>
      <c r="AF32" s="280">
        <f>IF(AC32&gt;0,Standing!$C$75*0.25,0)</f>
        <v>0</v>
      </c>
      <c r="AG32" s="281">
        <f>IF(AC32&gt;0,Standing!$C$75*0.165,0)</f>
        <v>0</v>
      </c>
      <c r="AH32" s="282">
        <f>IF(AC32&gt;0,Standing!$C$75*0.5,0)</f>
        <v>0</v>
      </c>
      <c r="AI32" s="283">
        <f>IF(AC32&gt;0,Standing!$C$75*0.16,0)</f>
        <v>0</v>
      </c>
      <c r="AJ32" s="284">
        <f>IF(AC32&gt;0,Standing!$C$75*0.2,0)</f>
        <v>0</v>
      </c>
      <c r="AK32" s="281">
        <f>IF(AC32&gt;0,Standing!$C$81*0.5,0)</f>
        <v>0</v>
      </c>
      <c r="AL32" s="282">
        <f t="shared" si="1"/>
        <v>0</v>
      </c>
      <c r="AM32" s="283">
        <f>IF(AC32&gt;0,Standing!$C$81*0.5,0)</f>
        <v>0</v>
      </c>
      <c r="AN32" s="284">
        <f>IF(AC32&gt;0,Standing!$C$81*0.45,0)</f>
        <v>0</v>
      </c>
      <c r="AO32" s="280">
        <f>IF(AC32&gt;0,Standing!$C$81*0.3,0)</f>
        <v>0</v>
      </c>
      <c r="AP32" s="281">
        <f>IF(AC32&gt;0,Standing!$C$81,0)</f>
        <v>0</v>
      </c>
      <c r="AQ32" s="282">
        <f>IF(AC32&gt;0,Standing!$C$85,0)</f>
        <v>0</v>
      </c>
      <c r="AR32" s="283">
        <f>IF(AC32&gt;0,Standing!$C$85*0.8,0)</f>
        <v>0</v>
      </c>
      <c r="AS32" s="284">
        <f>IF(AC32&gt;0,Standing!$C$85*0.66,0)</f>
        <v>0</v>
      </c>
      <c r="AT32" s="280">
        <f>IF(AC32&gt;0,Standing!$C$85*0.5,0)</f>
        <v>0</v>
      </c>
      <c r="AU32" s="281">
        <f>IF(AC32&gt;0,Standing!$C$75*0.2,0)</f>
        <v>0</v>
      </c>
      <c r="AV32" s="282">
        <f>IF(AC32&gt;0,Standing!$C$75*0.12,0)</f>
        <v>0</v>
      </c>
      <c r="AW32" s="283">
        <f>IF(AC32&gt;0,Standing!$C$26*0.4,0)</f>
        <v>0</v>
      </c>
      <c r="AX32" s="284">
        <f>IF(AC32&gt;0,Standing!$C$26*0.4,0)</f>
        <v>0</v>
      </c>
      <c r="AY32" s="280">
        <f>IF(AC32&gt;0,Standing!$C$26*0.2,0)</f>
        <v>0</v>
      </c>
      <c r="AZ32" s="281">
        <f>IF(AC32&gt;0,Standing!$C$26*0.33,0)</f>
        <v>0</v>
      </c>
      <c r="BA32" s="282">
        <f>IF(AC32&gt;0,Standing!$C$26*0.2,0)</f>
        <v>0</v>
      </c>
      <c r="BB32" s="283">
        <f>IF(AC32&gt;0,Standing!$C$26*0.2,0)</f>
        <v>0</v>
      </c>
      <c r="BC32" s="284">
        <f>IF(AC32&gt;0,Standing!$C$32*0.4,0)</f>
        <v>0</v>
      </c>
      <c r="BD32" s="280">
        <f>IF(AC32&gt;0,Standing!$C$32*0.5,0)</f>
        <v>0</v>
      </c>
      <c r="BE32" s="281">
        <f>IF(AC32&gt;0,Standing!$C$32*0.33,0)</f>
        <v>0</v>
      </c>
      <c r="BF32" s="282">
        <f>IF(AC32&gt;0,Standing!$C$32*0.33,0)</f>
        <v>0</v>
      </c>
      <c r="BG32" s="283">
        <f>IF(AC32&gt;0,Standing!$C$32*0.33,0)</f>
        <v>0</v>
      </c>
      <c r="BH32" s="284">
        <f>IF(AC32&gt;0,Standing!$C$32*0.33,0)</f>
        <v>0</v>
      </c>
      <c r="BI32" s="280">
        <f>IF(AC32&gt;0,Standing!$C$26*0.5,0)</f>
        <v>0</v>
      </c>
      <c r="BJ32" s="281">
        <f>IF(AC32&gt;0,Standing!$C$26*0.5,0)</f>
        <v>0</v>
      </c>
      <c r="BK32" s="282">
        <f>IF(AC32&gt;0,Standing!$C$26*0.5,0)</f>
        <v>0</v>
      </c>
      <c r="BL32" s="283">
        <f>IF(AC32&gt;0,Standing!$C$32,0)</f>
        <v>0</v>
      </c>
      <c r="BM32" s="281">
        <f>IF(AC32&gt;0,Standing!$C$32*0.9,0)</f>
        <v>0</v>
      </c>
      <c r="BN32" s="284">
        <f t="shared" si="2"/>
        <v>0</v>
      </c>
      <c r="BO32" s="282">
        <f>IF(AC32&gt;0,Standing!$C$32*0.5,0)</f>
        <v>0</v>
      </c>
      <c r="BP32" s="280">
        <f>IF(AC32&gt;0,Standing!$C$32*0.5,0)</f>
        <v>0</v>
      </c>
      <c r="BQ32" s="281">
        <f>IF(AC32&gt;0,Standing!$C$32*0.5,0)</f>
        <v>0</v>
      </c>
      <c r="BR32" s="282">
        <f>IF(AC32&gt;0,Standing!$C$32*0.4,0)</f>
        <v>0</v>
      </c>
      <c r="BS32" s="283">
        <f>IF(AC32&gt;0,Standing!$C$32*0.33,0)</f>
        <v>0</v>
      </c>
      <c r="BT32" s="284">
        <f>IF(AC32&gt;0,Standing!$C$32*0.3,0)</f>
        <v>0</v>
      </c>
      <c r="BU32" s="280">
        <f>IF(AC32&gt;0,Standing!$C$36,0)</f>
        <v>0</v>
      </c>
      <c r="BV32" s="281">
        <f>IF(AC32&gt;0,Standing!$C$36*0.66,0)</f>
        <v>0</v>
      </c>
      <c r="BW32" s="282">
        <f>IF(AC32&gt;0,Standing!$C$126*0.75,0)</f>
        <v>0</v>
      </c>
      <c r="BX32" s="283">
        <f>IF(AC32&gt;0,Standing!$C$126*0.66,0)</f>
        <v>0</v>
      </c>
      <c r="BY32" s="284">
        <f>IF(AC32&gt;0,Standing!$C$126*0.66,0)</f>
        <v>0</v>
      </c>
      <c r="BZ32" s="280">
        <f>IF(AC32&gt;0,Standing!$C$126*0.375,0)</f>
        <v>0</v>
      </c>
      <c r="CA32" s="281">
        <f>IF(AC32&gt;0,Standing!$C$132,0)</f>
        <v>0</v>
      </c>
      <c r="CB32" s="282">
        <f>IF(AC32&gt;0,Standing!$C$132*0.75,0)</f>
        <v>0</v>
      </c>
      <c r="CC32" s="283">
        <f>IF(AC32&gt;0,Standing!$C$132,0)</f>
        <v>0</v>
      </c>
      <c r="CD32" s="284">
        <f>IF(AC32&gt;0,Standing!$C$132*0.66,0)</f>
        <v>0</v>
      </c>
      <c r="CE32" s="280">
        <f>IF(AC32&gt;0,Standing!$C$132*0.4,0)</f>
        <v>0</v>
      </c>
      <c r="CF32" s="281">
        <f>IF(AC32&gt;0,Standing!$C$132*0.75,0)</f>
        <v>0</v>
      </c>
      <c r="CG32" s="282">
        <f>IF(AC32&gt;0,Standing!$C$132*0.66,0)</f>
        <v>0</v>
      </c>
      <c r="CH32" s="283">
        <f>IF(AC32&gt;0,Standing!$C$132*0.75,0)</f>
        <v>0</v>
      </c>
      <c r="CI32" s="284">
        <f>IF(AC32&gt;0,Standing!$C$132*0.66,0)</f>
        <v>0</v>
      </c>
      <c r="CJ32" s="280">
        <f>IF(AC32&gt;0,Standing!$C$132*0.66,0)</f>
        <v>0</v>
      </c>
      <c r="CK32" s="281">
        <f>IF(AC32&gt;0,Standing!$C$126*0.75,0)</f>
        <v>0</v>
      </c>
      <c r="CL32" s="282">
        <f>IF(AC32&gt;0,Standing!$C$126,0)</f>
        <v>0</v>
      </c>
      <c r="CM32" s="283">
        <f>IF(AC32&gt;0,Standing!$C$126,0)</f>
        <v>0</v>
      </c>
      <c r="CN32" s="284">
        <f>IF(AC32&gt;0,Standing!$C$126*0.66,0)</f>
        <v>0</v>
      </c>
      <c r="CO32" s="280">
        <f>IF(AC32&gt;0,Standing!$C$126*0.4,0)</f>
        <v>0</v>
      </c>
      <c r="CP32" s="281">
        <f>IF(AC32&gt;0,Standing!$C$26*0.25,0)</f>
        <v>0</v>
      </c>
      <c r="CQ32" s="282">
        <f>IF(AC32&gt;0,Standing!$C$26*0.165,0)</f>
        <v>0</v>
      </c>
      <c r="CR32" s="283">
        <f>IF(AC32&gt;0,Standing!$C$26*0.2,0)</f>
        <v>0</v>
      </c>
      <c r="CS32" s="285">
        <f>IF(AC32&gt;0,Standing!$C$26*0.16,0)</f>
        <v>0</v>
      </c>
      <c r="CT32" s="286" t="s">
        <v>34</v>
      </c>
      <c r="CU32" s="286" t="s">
        <v>24</v>
      </c>
    </row>
    <row r="33" ht="15.75" customHeight="1">
      <c r="A33" s="51"/>
      <c r="B33" s="290" t="s">
        <v>488</v>
      </c>
      <c r="C33" s="189">
        <f>Standing!$C$26*0.25</f>
        <v>1.473375984</v>
      </c>
      <c r="D33" s="218">
        <f t="shared" si="3"/>
        <v>0.4689890452</v>
      </c>
      <c r="E33" s="190">
        <f t="shared" si="4"/>
        <v>37.42375</v>
      </c>
      <c r="F33" s="122">
        <f t="shared" si="5"/>
        <v>11.91232175</v>
      </c>
      <c r="G33" s="123">
        <f>C33/Introduction!$I$20</f>
        <v>0.0153476665</v>
      </c>
      <c r="H33" s="192">
        <f t="shared" si="6"/>
        <v>0.004885302554</v>
      </c>
      <c r="I33" s="124">
        <f>E33/Introduction!$I$20</f>
        <v>0.3898307292</v>
      </c>
      <c r="J33" s="125">
        <f t="shared" si="7"/>
        <v>0.1240866849</v>
      </c>
      <c r="K33" s="51"/>
      <c r="L33" s="51"/>
      <c r="M33" s="51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286"/>
      <c r="AB33" s="286" t="s">
        <v>25</v>
      </c>
      <c r="AC33" s="287">
        <f>IF('Ship Data Imperial'!E34&gt;0,'Ship Data Imperial'!E34,AD33)</f>
        <v>0</v>
      </c>
      <c r="AD33" s="287">
        <f>'Ship Data Metric'!E34*0.03280839895</f>
        <v>0</v>
      </c>
      <c r="AE33" s="284">
        <f>IF(AC33&gt;0,Standing!$C$75*0.45,0)</f>
        <v>0</v>
      </c>
      <c r="AF33" s="280">
        <f>IF(AC33&gt;0,Standing!$C$75*0.25,0)</f>
        <v>0</v>
      </c>
      <c r="AG33" s="281">
        <f>IF(AC33&gt;0,Standing!$C$75*0.165,0)</f>
        <v>0</v>
      </c>
      <c r="AH33" s="282">
        <f>IF(AC33&gt;0,Standing!$C$75*0.5,0)</f>
        <v>0</v>
      </c>
      <c r="AI33" s="283">
        <f>IF(AC33&gt;0,Standing!$C$75*0.16,0)</f>
        <v>0</v>
      </c>
      <c r="AJ33" s="284">
        <f>IF(AC33&gt;0,Standing!$C$75*0.2,0)</f>
        <v>0</v>
      </c>
      <c r="AK33" s="281">
        <f>IF(AC33&gt;0,Standing!$C$81*0.5,0)</f>
        <v>0</v>
      </c>
      <c r="AL33" s="282">
        <f t="shared" si="1"/>
        <v>0</v>
      </c>
      <c r="AM33" s="283">
        <f>IF(AC33&gt;0,Standing!$C$81*0.5,0)</f>
        <v>0</v>
      </c>
      <c r="AN33" s="284">
        <f>IF(AC33&gt;0,Standing!$C$81*0.45,0)</f>
        <v>0</v>
      </c>
      <c r="AO33" s="280">
        <f>IF(AC33&gt;0,Standing!$C$81*0.3,0)</f>
        <v>0</v>
      </c>
      <c r="AP33" s="281">
        <f>IF(AC33&gt;0,Standing!$C$81,0)</f>
        <v>0</v>
      </c>
      <c r="AQ33" s="282">
        <f>IF(AC33&gt;0,Standing!$C$85,0)</f>
        <v>0</v>
      </c>
      <c r="AR33" s="283">
        <f>IF(AC33&gt;0,Standing!$C$85*0.8,0)</f>
        <v>0</v>
      </c>
      <c r="AS33" s="284">
        <f>IF(AC33&gt;0,Standing!$C$85*0.66,0)</f>
        <v>0</v>
      </c>
      <c r="AT33" s="280">
        <f>IF(AC33&gt;0,Standing!$C$85*0.5,0)</f>
        <v>0</v>
      </c>
      <c r="AU33" s="281">
        <f>IF(AC33&gt;0,Standing!$C$75*0.2,0)</f>
        <v>0</v>
      </c>
      <c r="AV33" s="282">
        <f>IF(AC33&gt;0,Standing!$C$75*0.12,0)</f>
        <v>0</v>
      </c>
      <c r="AW33" s="283">
        <f>IF(AC33&gt;0,Standing!$C$26*0.4,0)</f>
        <v>0</v>
      </c>
      <c r="AX33" s="284">
        <f>IF(AC33&gt;0,Standing!$C$26*0.4,0)</f>
        <v>0</v>
      </c>
      <c r="AY33" s="280">
        <f>IF(AC33&gt;0,Standing!$C$26*0.2,0)</f>
        <v>0</v>
      </c>
      <c r="AZ33" s="281">
        <f>IF(AC33&gt;0,Standing!$C$26*0.33,0)</f>
        <v>0</v>
      </c>
      <c r="BA33" s="282">
        <f>IF(AC33&gt;0,Standing!$C$26*0.2,0)</f>
        <v>0</v>
      </c>
      <c r="BB33" s="283">
        <f>IF(AC33&gt;0,Standing!$C$26*0.2,0)</f>
        <v>0</v>
      </c>
      <c r="BC33" s="284">
        <f>IF(AC33&gt;0,Standing!$C$32*0.4,0)</f>
        <v>0</v>
      </c>
      <c r="BD33" s="280">
        <f>IF(AC33&gt;0,Standing!$C$32*0.5,0)</f>
        <v>0</v>
      </c>
      <c r="BE33" s="281">
        <f>IF(AC33&gt;0,Standing!$C$32*0.33,0)</f>
        <v>0</v>
      </c>
      <c r="BF33" s="282">
        <f>IF(AC33&gt;0,Standing!$C$32*0.33,0)</f>
        <v>0</v>
      </c>
      <c r="BG33" s="283">
        <f>IF(AC33&gt;0,Standing!$C$32*0.33,0)</f>
        <v>0</v>
      </c>
      <c r="BH33" s="284">
        <f>IF(AC33&gt;0,Standing!$C$32*0.33,0)</f>
        <v>0</v>
      </c>
      <c r="BI33" s="280">
        <f>IF(AC33&gt;0,Standing!$C$26*0.5,0)</f>
        <v>0</v>
      </c>
      <c r="BJ33" s="281">
        <f>IF(AC33&gt;0,Standing!$C$26*0.5,0)</f>
        <v>0</v>
      </c>
      <c r="BK33" s="282">
        <f>IF(AC33&gt;0,Standing!$C$26*0.5,0)</f>
        <v>0</v>
      </c>
      <c r="BL33" s="283">
        <f>IF(AC33&gt;0,Standing!$C$32,0)</f>
        <v>0</v>
      </c>
      <c r="BM33" s="281">
        <f>IF(AC33&gt;0,Standing!$C$32*0.9,0)</f>
        <v>0</v>
      </c>
      <c r="BN33" s="284">
        <f t="shared" si="2"/>
        <v>0</v>
      </c>
      <c r="BO33" s="282">
        <f>IF(AC33&gt;0,Standing!$C$32*0.5,0)</f>
        <v>0</v>
      </c>
      <c r="BP33" s="280">
        <f>IF(AC33&gt;0,Standing!$C$32*0.5,0)</f>
        <v>0</v>
      </c>
      <c r="BQ33" s="281">
        <f>IF(AC33&gt;0,Standing!$C$32*0.5,0)</f>
        <v>0</v>
      </c>
      <c r="BR33" s="282">
        <f>IF(AC33&gt;0,Standing!$C$32*0.4,0)</f>
        <v>0</v>
      </c>
      <c r="BS33" s="283">
        <f>IF(AC33&gt;0,Standing!$C$32*0.33,0)</f>
        <v>0</v>
      </c>
      <c r="BT33" s="284">
        <f>IF(AC33&gt;0,Standing!$C$32*0.3,0)</f>
        <v>0</v>
      </c>
      <c r="BU33" s="280">
        <f>IF(AC33&gt;0,Standing!$C$36,0)</f>
        <v>0</v>
      </c>
      <c r="BV33" s="281">
        <f>IF(AC33&gt;0,Standing!$C$36*0.66,0)</f>
        <v>0</v>
      </c>
      <c r="BW33" s="282">
        <f>IF(AC33&gt;0,Standing!$C$126*0.75,0)</f>
        <v>0</v>
      </c>
      <c r="BX33" s="283">
        <f>IF(AC33&gt;0,Standing!$C$126*0.66,0)</f>
        <v>0</v>
      </c>
      <c r="BY33" s="284">
        <f>IF(AC33&gt;0,Standing!$C$126*0.66,0)</f>
        <v>0</v>
      </c>
      <c r="BZ33" s="280">
        <f>IF(AC33&gt;0,Standing!$C$126*0.375,0)</f>
        <v>0</v>
      </c>
      <c r="CA33" s="281">
        <f>IF(AC33&gt;0,Standing!$C$132,0)</f>
        <v>0</v>
      </c>
      <c r="CB33" s="282">
        <f>IF(AC33&gt;0,Standing!$C$132*0.75,0)</f>
        <v>0</v>
      </c>
      <c r="CC33" s="283">
        <f>IF(AC33&gt;0,Standing!$C$132,0)</f>
        <v>0</v>
      </c>
      <c r="CD33" s="284">
        <f>IF(AC33&gt;0,Standing!$C$132*0.66,0)</f>
        <v>0</v>
      </c>
      <c r="CE33" s="280">
        <f>IF(AC33&gt;0,Standing!$C$132*0.4,0)</f>
        <v>0</v>
      </c>
      <c r="CF33" s="281">
        <f>IF(AC33&gt;0,Standing!$C$132*0.75,0)</f>
        <v>0</v>
      </c>
      <c r="CG33" s="282">
        <f>IF(AC33&gt;0,Standing!$C$132*0.66,0)</f>
        <v>0</v>
      </c>
      <c r="CH33" s="283">
        <f>IF(AC33&gt;0,Standing!$C$132*0.75,0)</f>
        <v>0</v>
      </c>
      <c r="CI33" s="284">
        <f>IF(AC33&gt;0,Standing!$C$132*0.66,0)</f>
        <v>0</v>
      </c>
      <c r="CJ33" s="280">
        <f>IF(AC33&gt;0,Standing!$C$132*0.66,0)</f>
        <v>0</v>
      </c>
      <c r="CK33" s="281">
        <f>IF(AC33&gt;0,Standing!$C$126*0.75,0)</f>
        <v>0</v>
      </c>
      <c r="CL33" s="282">
        <f>IF(AC33&gt;0,Standing!$C$126,0)</f>
        <v>0</v>
      </c>
      <c r="CM33" s="283">
        <f>IF(AC33&gt;0,Standing!$C$126,0)</f>
        <v>0</v>
      </c>
      <c r="CN33" s="284">
        <f>IF(AC33&gt;0,Standing!$C$126*0.66,0)</f>
        <v>0</v>
      </c>
      <c r="CO33" s="280">
        <f>IF(AC33&gt;0,Standing!$C$126*0.4,0)</f>
        <v>0</v>
      </c>
      <c r="CP33" s="281">
        <f>IF(AC33&gt;0,Standing!$C$26*0.25,0)</f>
        <v>0</v>
      </c>
      <c r="CQ33" s="282">
        <f>IF(AC33&gt;0,Standing!$C$26*0.165,0)</f>
        <v>0</v>
      </c>
      <c r="CR33" s="283">
        <f>IF(AC33&gt;0,Standing!$C$26*0.2,0)</f>
        <v>0</v>
      </c>
      <c r="CS33" s="285">
        <f>IF(AC33&gt;0,Standing!$C$26*0.16,0)</f>
        <v>0</v>
      </c>
      <c r="CT33" s="286"/>
      <c r="CU33" s="286" t="s">
        <v>25</v>
      </c>
    </row>
    <row r="34" ht="15.75" customHeight="1">
      <c r="A34" s="51"/>
      <c r="B34" s="290" t="s">
        <v>489</v>
      </c>
      <c r="C34" s="189">
        <f>IF(Standing!$C$26*0.125&gt;1,Standing!$C$26*0.125,1)</f>
        <v>1</v>
      </c>
      <c r="D34" s="218">
        <f t="shared" si="3"/>
        <v>0.3183091418</v>
      </c>
      <c r="E34" s="190">
        <f t="shared" si="4"/>
        <v>25.4</v>
      </c>
      <c r="F34" s="122">
        <f t="shared" si="5"/>
        <v>8.085052203</v>
      </c>
      <c r="G34" s="123">
        <f>C34/Introduction!$I$20</f>
        <v>0.01041666667</v>
      </c>
      <c r="H34" s="192">
        <f t="shared" si="6"/>
        <v>0.003315720227</v>
      </c>
      <c r="I34" s="124">
        <f>E34/Introduction!$I$20</f>
        <v>0.2645833333</v>
      </c>
      <c r="J34" s="125">
        <f t="shared" si="7"/>
        <v>0.08421929378</v>
      </c>
      <c r="K34" s="51"/>
      <c r="L34" s="51"/>
      <c r="M34" s="51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286"/>
      <c r="AB34" s="286" t="s">
        <v>26</v>
      </c>
      <c r="AC34" s="287">
        <f>IF('Ship Data Imperial'!E35&gt;0,'Ship Data Imperial'!E35,AD34)</f>
        <v>0</v>
      </c>
      <c r="AD34" s="287">
        <f>'Ship Data Metric'!E35*0.03280839895</f>
        <v>0</v>
      </c>
      <c r="AE34" s="284">
        <f>IF(AC34&gt;0,Standing!$C$75*0.45,0)</f>
        <v>0</v>
      </c>
      <c r="AF34" s="280">
        <f>IF(AC34&gt;0,Standing!$C$75*0.25,0)</f>
        <v>0</v>
      </c>
      <c r="AG34" s="281">
        <f>IF(AC34&gt;0,Standing!$C$75*0.2,0)</f>
        <v>0</v>
      </c>
      <c r="AH34" s="282">
        <f>IF(AC34&gt;0,Standing!$C$75*0.5,0)</f>
        <v>0</v>
      </c>
      <c r="AI34" s="283">
        <f>IF(AC34&gt;0,Standing!$C$75*0.2,0)</f>
        <v>0</v>
      </c>
      <c r="AJ34" s="284">
        <f>IF(AC34&gt;0,Standing!$C$75*0.25,0)</f>
        <v>0</v>
      </c>
      <c r="AK34" s="281">
        <f>IF(AC34&gt;0,Standing!$C$81*0.5,0)</f>
        <v>0</v>
      </c>
      <c r="AL34" s="282">
        <f t="shared" si="1"/>
        <v>0</v>
      </c>
      <c r="AM34" s="283">
        <f>IF(AC34&gt;0,Standing!$C$81*0.66,0)</f>
        <v>0</v>
      </c>
      <c r="AN34" s="284">
        <f>IF(AC34&gt;0,Standing!$C$81*0.45,0)</f>
        <v>0</v>
      </c>
      <c r="AO34" s="280">
        <f>IF(AC34&gt;0,Standing!$C$81*0.3,0)</f>
        <v>0</v>
      </c>
      <c r="AP34" s="281">
        <f>IF(AC34&gt;0,Standing!$C$81*0.9,0)</f>
        <v>0</v>
      </c>
      <c r="AQ34" s="282">
        <f>IF(AC34&gt;0,Standing!$C$85,0)</f>
        <v>0</v>
      </c>
      <c r="AR34" s="283">
        <f>IF(AC34&gt;0,Standing!$C$85*0.8,0)</f>
        <v>0</v>
      </c>
      <c r="AS34" s="284">
        <f>IF(AC34&gt;0,Standing!$C$85*0.66,0)</f>
        <v>0</v>
      </c>
      <c r="AT34" s="280">
        <f>IF(AC34&gt;0,Standing!$C$85*0.5,0)</f>
        <v>0</v>
      </c>
      <c r="AU34" s="281">
        <f>IF(AC34&gt;0,Standing!$C$75*0.2,0)</f>
        <v>0</v>
      </c>
      <c r="AV34" s="282">
        <f>IF(AC34&gt;0,Standing!$C$75*0.12,0)</f>
        <v>0</v>
      </c>
      <c r="AW34" s="283">
        <f>IF(AC34&gt;0,Standing!$C$26*0.4,0)</f>
        <v>0</v>
      </c>
      <c r="AX34" s="284">
        <f>IF(AC34&gt;0,Standing!$C$26*0.4,0)</f>
        <v>0</v>
      </c>
      <c r="AY34" s="280">
        <f>IF(AC34&gt;0,Standing!$C$26*0.2,0)</f>
        <v>0</v>
      </c>
      <c r="AZ34" s="281">
        <f>IF(AC34&gt;0,Standing!$C$26*0.33,0)</f>
        <v>0</v>
      </c>
      <c r="BA34" s="282">
        <f>IF(AC34&gt;0,Standing!$C$26*0.2,0)</f>
        <v>0</v>
      </c>
      <c r="BB34" s="283">
        <f>IF(AC34&gt;0,Standing!$C$26*0.2,0)</f>
        <v>0</v>
      </c>
      <c r="BC34" s="284">
        <f>IF(AC34&gt;0,Standing!$C$32*0.4,0)</f>
        <v>0</v>
      </c>
      <c r="BD34" s="280">
        <f>IF(AC34&gt;0,Standing!$C$32*0.5,0)</f>
        <v>0</v>
      </c>
      <c r="BE34" s="281">
        <f>IF(AC34&gt;0,Standing!$C$32*0.33,0)</f>
        <v>0</v>
      </c>
      <c r="BF34" s="282">
        <f>IF(AC34&gt;0,Standing!$C$32*0.33,0)</f>
        <v>0</v>
      </c>
      <c r="BG34" s="283">
        <f>IF(AC34&gt;0,Standing!$C$32*0.33,0)</f>
        <v>0</v>
      </c>
      <c r="BH34" s="284">
        <f>IF(AC34&gt;0,Standing!$C$32*0.4,0)</f>
        <v>0</v>
      </c>
      <c r="BI34" s="280">
        <f>IF(AC34&gt;0,Standing!$C$26*0.5,0)</f>
        <v>0</v>
      </c>
      <c r="BJ34" s="281">
        <f>IF(AC34&gt;0,Standing!$C$26*0.5,0)</f>
        <v>0</v>
      </c>
      <c r="BK34" s="282">
        <f>IF(AC34&gt;0,Standing!$C$26*0.5,0)</f>
        <v>0</v>
      </c>
      <c r="BL34" s="283">
        <f>IF(AC34&gt;0,Standing!$C$32,0)</f>
        <v>0</v>
      </c>
      <c r="BM34" s="281">
        <f>IF(AC34&gt;0,Standing!$C$32*0.85,0)</f>
        <v>0</v>
      </c>
      <c r="BN34" s="284">
        <f t="shared" si="2"/>
        <v>0</v>
      </c>
      <c r="BO34" s="282">
        <f>IF(AC34&gt;0,Standing!$C$32*0.5,0)</f>
        <v>0</v>
      </c>
      <c r="BP34" s="280">
        <f>IF(AC34&gt;0,Standing!$C$32*0.5,0)</f>
        <v>0</v>
      </c>
      <c r="BQ34" s="281">
        <f>IF(AC34&gt;0,Standing!$C$32*0.5,0)</f>
        <v>0</v>
      </c>
      <c r="BR34" s="282">
        <f>IF(AC34&gt;0,Standing!$C$32*0.4,0)</f>
        <v>0</v>
      </c>
      <c r="BS34" s="283">
        <f>IF(AC34&gt;0,Standing!$C$32*0.33,0)</f>
        <v>0</v>
      </c>
      <c r="BT34" s="284">
        <f>IF(AC34&gt;0,Standing!$C$32*0.3,0)</f>
        <v>0</v>
      </c>
      <c r="BU34" s="280">
        <f>IF(AC34&gt;0,Standing!$C$36,0)</f>
        <v>0</v>
      </c>
      <c r="BV34" s="281">
        <f>IF(AC34&gt;0,Standing!$C$36*0.66,0)</f>
        <v>0</v>
      </c>
      <c r="BW34" s="282">
        <f>IF(AC34&gt;0,Standing!$C$126*0.75,0)</f>
        <v>0</v>
      </c>
      <c r="BX34" s="283">
        <f>IF(AC34&gt;0,Standing!$C$126*0.66,0)</f>
        <v>0</v>
      </c>
      <c r="BY34" s="284">
        <f>IF(AC34&gt;0,Standing!$C$126*0.66,0)</f>
        <v>0</v>
      </c>
      <c r="BZ34" s="280">
        <f>IF(AC34&gt;0,Standing!$C$126*0.375,0)</f>
        <v>0</v>
      </c>
      <c r="CA34" s="281">
        <f>IF(AC34&gt;0,Standing!$C$132,0)</f>
        <v>0</v>
      </c>
      <c r="CB34" s="282">
        <f>IF(AC34&gt;0,Standing!$C$132*0.75,0)</f>
        <v>0</v>
      </c>
      <c r="CC34" s="283">
        <f>IF(AC34&gt;0,Standing!$C$132,0)</f>
        <v>0</v>
      </c>
      <c r="CD34" s="284">
        <f>IF(AC34&gt;0,Standing!$C$132*0.66,0)</f>
        <v>0</v>
      </c>
      <c r="CE34" s="280">
        <f>IF(AC34&gt;0,Standing!$C$132*0.4,0)</f>
        <v>0</v>
      </c>
      <c r="CF34" s="281">
        <f>IF(AC34&gt;0,Standing!$C$132*0.75,0)</f>
        <v>0</v>
      </c>
      <c r="CG34" s="282">
        <f>IF(AC34&gt;0,Standing!$C$132*0.66,0)</f>
        <v>0</v>
      </c>
      <c r="CH34" s="283">
        <f>IF(AC34&gt;0,Standing!$C$132*0.75,0)</f>
        <v>0</v>
      </c>
      <c r="CI34" s="284">
        <f>IF(AC34&gt;0,Standing!$C$132*0.66,0)</f>
        <v>0</v>
      </c>
      <c r="CJ34" s="280">
        <f>IF(AC34&gt;0,Standing!$C$132*0.66,0)</f>
        <v>0</v>
      </c>
      <c r="CK34" s="281">
        <f>IF(AC34&gt;0,Standing!$C$126*0.75,0)</f>
        <v>0</v>
      </c>
      <c r="CL34" s="282">
        <f>IF(AC34&gt;0,Standing!$C$126,0)</f>
        <v>0</v>
      </c>
      <c r="CM34" s="283">
        <f>IF(AC34&gt;0,Standing!$C$126,0)</f>
        <v>0</v>
      </c>
      <c r="CN34" s="284">
        <f>IF(AC34&gt;0,Standing!$C$126*0.66,0)</f>
        <v>0</v>
      </c>
      <c r="CO34" s="280">
        <f>IF(AC34&gt;0,Standing!$C$126*0.4,0)</f>
        <v>0</v>
      </c>
      <c r="CP34" s="281">
        <f>IF(AC34&gt;0,Standing!$C$26*0.25,0)</f>
        <v>0</v>
      </c>
      <c r="CQ34" s="282">
        <f>IF(AC34&gt;0,Standing!$C$26*0.2,0)</f>
        <v>0</v>
      </c>
      <c r="CR34" s="283">
        <f>IF(AC34&gt;0,Standing!$C$26*0.25,0)</f>
        <v>0</v>
      </c>
      <c r="CS34" s="285">
        <f>IF(AC34&gt;0,Standing!$C$26*0.2,0)</f>
        <v>0</v>
      </c>
      <c r="CT34" s="286"/>
      <c r="CU34" s="286" t="s">
        <v>26</v>
      </c>
    </row>
    <row r="35" ht="15.75" customHeight="1">
      <c r="A35" s="51"/>
      <c r="B35" s="290" t="s">
        <v>490</v>
      </c>
      <c r="C35" s="189">
        <f>Standing!$C$26*0.25</f>
        <v>1.473375984</v>
      </c>
      <c r="D35" s="218">
        <f t="shared" si="3"/>
        <v>0.4689890452</v>
      </c>
      <c r="E35" s="190">
        <f t="shared" si="4"/>
        <v>37.42375</v>
      </c>
      <c r="F35" s="122">
        <f t="shared" si="5"/>
        <v>11.91232175</v>
      </c>
      <c r="G35" s="123">
        <f>C35/Introduction!$I$20</f>
        <v>0.0153476665</v>
      </c>
      <c r="H35" s="192">
        <f t="shared" si="6"/>
        <v>0.004885302554</v>
      </c>
      <c r="I35" s="124">
        <f>E35/Introduction!$I$20</f>
        <v>0.3898307292</v>
      </c>
      <c r="J35" s="125">
        <f t="shared" si="7"/>
        <v>0.1240866849</v>
      </c>
      <c r="K35" s="51"/>
      <c r="L35" s="51"/>
      <c r="M35" s="51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286"/>
      <c r="AB35" s="286" t="s">
        <v>27</v>
      </c>
      <c r="AC35" s="287">
        <f>IF('Ship Data Imperial'!E36&gt;0,'Ship Data Imperial'!E36,AD35)</f>
        <v>0</v>
      </c>
      <c r="AD35" s="287">
        <f>'Ship Data Metric'!E36*0.03280839895</f>
        <v>0</v>
      </c>
      <c r="AE35" s="284">
        <f>IF(AC35&gt;0,Standing!$C$75*0.45,0)</f>
        <v>0</v>
      </c>
      <c r="AF35" s="280">
        <f>IF(AC35&gt;0,Standing!$C$75*0.33,0)</f>
        <v>0</v>
      </c>
      <c r="AG35" s="281">
        <f>IF(AC35&gt;0,Standing!$C$75*0.2,0)</f>
        <v>0</v>
      </c>
      <c r="AH35" s="282">
        <f>IF(AC35&gt;0,Standing!$C$75*0.5,0)</f>
        <v>0</v>
      </c>
      <c r="AI35" s="283">
        <f>IF(AC35&gt;0,Standing!$C$75*0.2,0)</f>
        <v>0</v>
      </c>
      <c r="AJ35" s="284">
        <f>IF(AC35&gt;0,Standing!$C$75*0.25,0)</f>
        <v>0</v>
      </c>
      <c r="AK35" s="281">
        <f>IF(AC35&gt;0,Standing!$C$81*0.5,0)</f>
        <v>0</v>
      </c>
      <c r="AL35" s="282">
        <f t="shared" si="1"/>
        <v>0</v>
      </c>
      <c r="AM35" s="283">
        <f>IF(AC35&gt;0,Standing!$C$81*0.66,0)</f>
        <v>0</v>
      </c>
      <c r="AN35" s="284">
        <f>IF(AC35&gt;0,Standing!$C$81*0.45,0)</f>
        <v>0</v>
      </c>
      <c r="AO35" s="280">
        <f>IF(AC35&gt;0,Standing!$C$81*0.3,0)</f>
        <v>0</v>
      </c>
      <c r="AP35" s="281">
        <f>IF(AC35&gt;0,Standing!$C$81*0.9,0)</f>
        <v>0</v>
      </c>
      <c r="AQ35" s="282">
        <f>IF(AC35&gt;0,Standing!$C$85,0)</f>
        <v>0</v>
      </c>
      <c r="AR35" s="283">
        <f>IF(AC35&gt;0,Standing!$C$85*0.8,0)</f>
        <v>0</v>
      </c>
      <c r="AS35" s="284">
        <f>IF(AC35&gt;0,Standing!$C$85*0.66,0)</f>
        <v>0</v>
      </c>
      <c r="AT35" s="280">
        <f>IF(AC35&gt;0,Standing!$C$85*0.5,0)</f>
        <v>0</v>
      </c>
      <c r="AU35" s="281">
        <f>IF(AC35&gt;0,Standing!$C$75*0.25,0)</f>
        <v>0</v>
      </c>
      <c r="AV35" s="282">
        <f>IF(AC35&gt;0,Standing!$C$75*0.12,0)</f>
        <v>0</v>
      </c>
      <c r="AW35" s="283">
        <f>IF(AC35&gt;0,Standing!$C$26*0.4,0)</f>
        <v>0</v>
      </c>
      <c r="AX35" s="284">
        <f>IF(AC35&gt;0,Standing!$C$26*0.4,0)</f>
        <v>0</v>
      </c>
      <c r="AY35" s="280">
        <f>IF(AC35&gt;0,Standing!$C$26*0.2,0)</f>
        <v>0</v>
      </c>
      <c r="AZ35" s="281">
        <f>IF(AC35&gt;0,Standing!$C$26*0.33,0)</f>
        <v>0</v>
      </c>
      <c r="BA35" s="282">
        <f>IF(AC35&gt;0,Standing!$C$26*0.2,0)</f>
        <v>0</v>
      </c>
      <c r="BB35" s="283">
        <f>IF(AC35&gt;0,Standing!$C$26*0.2,0)</f>
        <v>0</v>
      </c>
      <c r="BC35" s="284">
        <f>IF(AC35&gt;0,Standing!$C$32*0.4,0)</f>
        <v>0</v>
      </c>
      <c r="BD35" s="280">
        <f>IF(AC35&gt;0,Standing!$C$32*0.5,0)</f>
        <v>0</v>
      </c>
      <c r="BE35" s="281">
        <f>IF(AC35&gt;0,Standing!$C$32*0.33,0)</f>
        <v>0</v>
      </c>
      <c r="BF35" s="282">
        <f>IF(AC35&gt;0,Standing!$C$32*0.33,0)</f>
        <v>0</v>
      </c>
      <c r="BG35" s="283">
        <f>IF(AC35&gt;0,Standing!$C$32*0.33,0)</f>
        <v>0</v>
      </c>
      <c r="BH35" s="284">
        <f>IF(AC35&gt;0,Standing!$C$32*0.4,0)</f>
        <v>0</v>
      </c>
      <c r="BI35" s="280">
        <f>IF(AC35&gt;0,Standing!$C$26*0.5,0)</f>
        <v>0</v>
      </c>
      <c r="BJ35" s="281">
        <f>IF(AC35&gt;0,Standing!$C$26*0.5,0)</f>
        <v>0</v>
      </c>
      <c r="BK35" s="282">
        <f>IF(AC35&gt;0,Standing!$C$26*0.5,0)</f>
        <v>0</v>
      </c>
      <c r="BL35" s="283">
        <f>IF(AC35&gt;0,Standing!$C$32,0)</f>
        <v>0</v>
      </c>
      <c r="BM35" s="281">
        <f>IF(AC35&gt;0,Standing!$C$32*0.85,0)</f>
        <v>0</v>
      </c>
      <c r="BN35" s="284">
        <f t="shared" si="2"/>
        <v>0</v>
      </c>
      <c r="BO35" s="282">
        <f>IF(AC35&gt;0,Standing!$C$32*0.45,0)</f>
        <v>0</v>
      </c>
      <c r="BP35" s="280">
        <f>IF(AC35&gt;0,Standing!$C$32*0.66,0)</f>
        <v>0</v>
      </c>
      <c r="BQ35" s="281">
        <f>IF(AC35&gt;0,Standing!$C$32*0.5,0)</f>
        <v>0</v>
      </c>
      <c r="BR35" s="282">
        <f>IF(AC35&gt;0,Standing!$C$32*0.4,0)</f>
        <v>0</v>
      </c>
      <c r="BS35" s="283">
        <f>IF(AC35&gt;0,Standing!$C$32*0.33,0)</f>
        <v>0</v>
      </c>
      <c r="BT35" s="284">
        <f>IF(AC35&gt;0,Standing!$C$32*0.3,0)</f>
        <v>0</v>
      </c>
      <c r="BU35" s="280">
        <f>IF(AC35&gt;0,Standing!$C$36,0)</f>
        <v>0</v>
      </c>
      <c r="BV35" s="281">
        <f>IF(AC35&gt;0,Standing!$C$36*0.66,0)</f>
        <v>0</v>
      </c>
      <c r="BW35" s="282">
        <f>IF(AC35&gt;0,Standing!$C$126*0.75,0)</f>
        <v>0</v>
      </c>
      <c r="BX35" s="283">
        <f>IF(AC35&gt;0,Standing!$C$126*0.33,0)</f>
        <v>0</v>
      </c>
      <c r="BY35" s="284">
        <f>IF(AC35&gt;0,Standing!$C$126*0.66,0)</f>
        <v>0</v>
      </c>
      <c r="BZ35" s="280">
        <f>IF(AC35&gt;0,Standing!$C$126*0.375,0)</f>
        <v>0</v>
      </c>
      <c r="CA35" s="281">
        <f>IF(AC35&gt;0,Standing!$C$132,0)</f>
        <v>0</v>
      </c>
      <c r="CB35" s="282">
        <f>IF(AC35&gt;0,Standing!$C$132*0.75,0)</f>
        <v>0</v>
      </c>
      <c r="CC35" s="283">
        <f>IF(AC35&gt;0,Standing!$C$132,0)</f>
        <v>0</v>
      </c>
      <c r="CD35" s="284">
        <f>IF(AC35&gt;0,Standing!$C$132*0.66,0)</f>
        <v>0</v>
      </c>
      <c r="CE35" s="280">
        <f>IF(AC35&gt;0,Standing!$C$132*0.5,0)</f>
        <v>0</v>
      </c>
      <c r="CF35" s="281">
        <f>IF(AC35&gt;0,Standing!$C$132*0.75,0)</f>
        <v>0</v>
      </c>
      <c r="CG35" s="282">
        <f>IF(AC35&gt;0,Standing!$C$132*0.66,0)</f>
        <v>0</v>
      </c>
      <c r="CH35" s="283">
        <f>IF(AC35&gt;0,Standing!$C$132*0.75,0)</f>
        <v>0</v>
      </c>
      <c r="CI35" s="284">
        <f>IF(AC35&gt;0,Standing!$C$132*0.66,0)</f>
        <v>0</v>
      </c>
      <c r="CJ35" s="280">
        <f>IF(AC35&gt;0,Standing!$C$132*0.66,0)</f>
        <v>0</v>
      </c>
      <c r="CK35" s="281">
        <f>IF(AC35&gt;0,Standing!$C$126*0.75,0)</f>
        <v>0</v>
      </c>
      <c r="CL35" s="282">
        <f>IF(AC35&gt;0,Standing!$C$126,0)</f>
        <v>0</v>
      </c>
      <c r="CM35" s="283">
        <f>IF(AC35&gt;0,Standing!$C$126,0)</f>
        <v>0</v>
      </c>
      <c r="CN35" s="284">
        <f>IF(AC35&gt;0,Standing!$C$126*0.66,0)</f>
        <v>0</v>
      </c>
      <c r="CO35" s="280">
        <f>IF(AC35&gt;0,Standing!$C$126*0.4,0)</f>
        <v>0</v>
      </c>
      <c r="CP35" s="281">
        <f>IF(AC35&gt;0,Standing!$C$26*0.33,0)</f>
        <v>0</v>
      </c>
      <c r="CQ35" s="282">
        <f>IF(AC35&gt;0,Standing!$C$26*0.2,0)</f>
        <v>0</v>
      </c>
      <c r="CR35" s="283">
        <f>IF(AC35&gt;0,Standing!$C$26*0.25,0)</f>
        <v>0</v>
      </c>
      <c r="CS35" s="285">
        <f>IF(AC35&gt;0,Standing!$C$26*0.2,0)</f>
        <v>0</v>
      </c>
      <c r="CT35" s="286"/>
      <c r="CU35" s="286" t="s">
        <v>27</v>
      </c>
    </row>
    <row r="36" ht="15.75" customHeight="1">
      <c r="A36" s="51"/>
      <c r="B36" s="290" t="s">
        <v>491</v>
      </c>
      <c r="C36" s="189">
        <f>Standing!$C$26*0.3</f>
        <v>1.768051181</v>
      </c>
      <c r="D36" s="218">
        <f t="shared" si="3"/>
        <v>0.5627868542</v>
      </c>
      <c r="E36" s="190">
        <f t="shared" si="4"/>
        <v>44.9085</v>
      </c>
      <c r="F36" s="122">
        <f t="shared" si="5"/>
        <v>14.2947861</v>
      </c>
      <c r="G36" s="123">
        <f>C36/Introduction!$I$20</f>
        <v>0.0184171998</v>
      </c>
      <c r="H36" s="192">
        <f t="shared" si="6"/>
        <v>0.005862363064</v>
      </c>
      <c r="I36" s="124">
        <f>E36/Introduction!$I$20</f>
        <v>0.467796875</v>
      </c>
      <c r="J36" s="125">
        <f t="shared" si="7"/>
        <v>0.1489040218</v>
      </c>
      <c r="K36" s="51"/>
      <c r="L36" s="51"/>
      <c r="M36" s="51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286"/>
      <c r="AB36" s="286" t="s">
        <v>28</v>
      </c>
      <c r="AC36" s="287">
        <f>IF('Ship Data Imperial'!E37&gt;0,'Ship Data Imperial'!E37,AD36)</f>
        <v>0</v>
      </c>
      <c r="AD36" s="287">
        <f>'Ship Data Metric'!E37*0.03280839895</f>
        <v>0</v>
      </c>
      <c r="AE36" s="284">
        <f>IF(AC36&gt;0,Standing!$C$75*0.65,0)</f>
        <v>0</v>
      </c>
      <c r="AF36" s="280">
        <f>IF(AC36&gt;0,Standing!$C$75*0.25,0)</f>
        <v>0</v>
      </c>
      <c r="AG36" s="281">
        <f>IF(AC36&gt;0,Standing!$C$75*0.2,0)</f>
        <v>0</v>
      </c>
      <c r="AH36" s="282">
        <f>IF(AC36&gt;0,Standing!$C$75*0.5,0)</f>
        <v>0</v>
      </c>
      <c r="AI36" s="283">
        <f>IF(AC36&gt;0,Standing!$C$75*0.2,0)</f>
        <v>0</v>
      </c>
      <c r="AJ36" s="284">
        <f>IF(AC36&gt;0,Standing!$C$75*0.25,0)</f>
        <v>0</v>
      </c>
      <c r="AK36" s="281">
        <f>IF(AC36&gt;0,Standing!$C$81*0.5,0)</f>
        <v>0</v>
      </c>
      <c r="AL36" s="282">
        <f t="shared" si="1"/>
        <v>0</v>
      </c>
      <c r="AM36" s="283">
        <f>IF(AC36&gt;0,Standing!$C$81*0.66,0)</f>
        <v>0</v>
      </c>
      <c r="AN36" s="284">
        <f>IF(AC36&gt;0,Standing!$C$81*0.45,0)</f>
        <v>0</v>
      </c>
      <c r="AO36" s="280">
        <f>IF(AC36&gt;0,Standing!$C$81*0.3,0)</f>
        <v>0</v>
      </c>
      <c r="AP36" s="281">
        <f>IF(AC36&gt;0,Standing!$C$81*0.9,0)</f>
        <v>0</v>
      </c>
      <c r="AQ36" s="282">
        <f>IF(AC36&gt;0,Standing!$C$85,0)</f>
        <v>0</v>
      </c>
      <c r="AR36" s="283">
        <f>IF(AC36&gt;0,Standing!$C$85*0.8,0)</f>
        <v>0</v>
      </c>
      <c r="AS36" s="284">
        <f>IF(AC36&gt;0,Standing!$C$85*0.66,0)</f>
        <v>0</v>
      </c>
      <c r="AT36" s="280">
        <f>IF(AC36&gt;0,Standing!$C$85*0.5,0)</f>
        <v>0</v>
      </c>
      <c r="AU36" s="281">
        <f>IF(AC36&gt;0,Standing!$C$75*0.25,0)</f>
        <v>0</v>
      </c>
      <c r="AV36" s="282">
        <f>IF(AC36&gt;0,Standing!$C$75*0.12,0)</f>
        <v>0</v>
      </c>
      <c r="AW36" s="283">
        <f>IF(AC36&gt;0,Standing!$C$26*0.4,0)</f>
        <v>0</v>
      </c>
      <c r="AX36" s="284">
        <f>IF(AC36&gt;0,Standing!$C$26*0.4,0)</f>
        <v>0</v>
      </c>
      <c r="AY36" s="280">
        <f>IF(AC36&gt;0,Standing!$C$26*0.2,0)</f>
        <v>0</v>
      </c>
      <c r="AZ36" s="281">
        <f>IF(AC36&gt;0,Standing!$C$26*0.33,0)</f>
        <v>0</v>
      </c>
      <c r="BA36" s="282">
        <f>IF(AC36&gt;0,Standing!$C$26*0.2,0)</f>
        <v>0</v>
      </c>
      <c r="BB36" s="283">
        <f>IF(AC36&gt;0,Standing!$C$26*0.2,0)</f>
        <v>0</v>
      </c>
      <c r="BC36" s="284">
        <f>IF(AC36&gt;0,Standing!$C$32*0.4,0)</f>
        <v>0</v>
      </c>
      <c r="BD36" s="280">
        <f>IF(AC36&gt;0,Standing!$C$32*0.5,0)</f>
        <v>0</v>
      </c>
      <c r="BE36" s="281">
        <f>IF(AC36&gt;0,Standing!$C$32*0.33,0)</f>
        <v>0</v>
      </c>
      <c r="BF36" s="282">
        <f>IF(AC36&gt;0,Standing!$C$32*0.33,0)</f>
        <v>0</v>
      </c>
      <c r="BG36" s="283">
        <f>IF(AC36&gt;0,Standing!$C$32*0.33,0)</f>
        <v>0</v>
      </c>
      <c r="BH36" s="284">
        <f>IF(AC36&gt;0,Standing!$C$32*0.4,0)</f>
        <v>0</v>
      </c>
      <c r="BI36" s="280">
        <f>IF(AC36&gt;0,Standing!$C$26*0.75,0)</f>
        <v>0</v>
      </c>
      <c r="BJ36" s="281">
        <f>IF(AC36&gt;0,Standing!$C$26*0.5,0)</f>
        <v>0</v>
      </c>
      <c r="BK36" s="282">
        <f>IF(AC36&gt;0,Standing!$C$26*0.5,0)</f>
        <v>0</v>
      </c>
      <c r="BL36" s="283">
        <f>IF(AC36&gt;0,Standing!$C$32,0)</f>
        <v>0</v>
      </c>
      <c r="BM36" s="281">
        <f>IF(AC36&gt;0,Standing!$C$32*0.85,0)</f>
        <v>0</v>
      </c>
      <c r="BN36" s="284">
        <f t="shared" si="2"/>
        <v>0</v>
      </c>
      <c r="BO36" s="282">
        <f>IF(AC36&gt;0,Standing!$C$32*0.45,0)</f>
        <v>0</v>
      </c>
      <c r="BP36" s="280">
        <f>IF(AC36&gt;0,Standing!$C$32*0.66,0)</f>
        <v>0</v>
      </c>
      <c r="BQ36" s="281">
        <f>IF(AC36&gt;0,Standing!$C$32*0.5,0)</f>
        <v>0</v>
      </c>
      <c r="BR36" s="282">
        <f>IF(AC36&gt;0,Standing!$C$32*0.4,0)</f>
        <v>0</v>
      </c>
      <c r="BS36" s="283">
        <f>IF(AC36&gt;0,Standing!$C$32*0.33,0)</f>
        <v>0</v>
      </c>
      <c r="BT36" s="284">
        <f>IF(AC36&gt;0,Standing!$C$32*0.3,0)</f>
        <v>0</v>
      </c>
      <c r="BU36" s="280">
        <f>IF(AC36&gt;0,Standing!$C$36,0)</f>
        <v>0</v>
      </c>
      <c r="BV36" s="281">
        <f>IF(AC36&gt;0,Standing!$C$36*0.66,0)</f>
        <v>0</v>
      </c>
      <c r="BW36" s="282">
        <f>IF(AC36&gt;0,Standing!$C$126*0.75,0)</f>
        <v>0</v>
      </c>
      <c r="BX36" s="283">
        <f>IF(AC36&gt;0,Standing!$C$126*0.33,0)</f>
        <v>0</v>
      </c>
      <c r="BY36" s="284">
        <f>IF(AC36&gt;0,Standing!$C$126*0.66,0)</f>
        <v>0</v>
      </c>
      <c r="BZ36" s="280">
        <f>IF(AC36&gt;0,Standing!$C$126*0.375,0)</f>
        <v>0</v>
      </c>
      <c r="CA36" s="281">
        <f>IF(AC36&gt;0,Standing!$C$132,0)</f>
        <v>0</v>
      </c>
      <c r="CB36" s="282">
        <f>IF(AC36&gt;0,Standing!$C$132*0.75,0)</f>
        <v>0</v>
      </c>
      <c r="CC36" s="283">
        <f>IF(AC36&gt;0,Standing!$C$132,0)</f>
        <v>0</v>
      </c>
      <c r="CD36" s="284">
        <f>IF(AC36&gt;0,Standing!$C$132*0.66,0)</f>
        <v>0</v>
      </c>
      <c r="CE36" s="280">
        <f>IF(AC36&gt;0,Standing!$C$132*0.5,0)</f>
        <v>0</v>
      </c>
      <c r="CF36" s="281">
        <f>IF(AC36&gt;0,Standing!$C$132*0.75,0)</f>
        <v>0</v>
      </c>
      <c r="CG36" s="282">
        <f>IF(AC36&gt;0,Standing!$C$132*0.66,0)</f>
        <v>0</v>
      </c>
      <c r="CH36" s="283">
        <f>IF(AC36&gt;0,Standing!$C$132*0.75,0)</f>
        <v>0</v>
      </c>
      <c r="CI36" s="284">
        <f>IF(AC36&gt;0,Standing!$C$132*0.66,0)</f>
        <v>0</v>
      </c>
      <c r="CJ36" s="280">
        <f>IF(AC36&gt;0,Standing!$C$132*0.66,0)</f>
        <v>0</v>
      </c>
      <c r="CK36" s="281">
        <f>IF(AC36&gt;0,Standing!$C$126*0.75,0)</f>
        <v>0</v>
      </c>
      <c r="CL36" s="282">
        <f>IF(AC36&gt;0,Standing!$C$126,0)</f>
        <v>0</v>
      </c>
      <c r="CM36" s="283">
        <f>IF(AC36&gt;0,Standing!$C$126,0)</f>
        <v>0</v>
      </c>
      <c r="CN36" s="284">
        <f>IF(AC36&gt;0,Standing!$C$126*0.66,0)</f>
        <v>0</v>
      </c>
      <c r="CO36" s="280">
        <f>IF(AC36&gt;0,Standing!$C$126*0.4,0)</f>
        <v>0</v>
      </c>
      <c r="CP36" s="281">
        <f>IF(AC36&gt;0,Standing!$C$26*0.33,0)</f>
        <v>0</v>
      </c>
      <c r="CQ36" s="282">
        <f>IF(AC36&gt;0,Standing!$C$26*0.2,0)</f>
        <v>0</v>
      </c>
      <c r="CR36" s="283">
        <f>IF(AC36&gt;0,Standing!$C$26*0.25,0)</f>
        <v>0</v>
      </c>
      <c r="CS36" s="285">
        <f>IF(AC36&gt;0,Standing!$C$26*0.2,0)</f>
        <v>0</v>
      </c>
      <c r="CT36" s="286"/>
      <c r="CU36" s="286" t="s">
        <v>28</v>
      </c>
    </row>
    <row r="37" ht="15.75" customHeight="1">
      <c r="A37" s="51"/>
      <c r="B37" s="290" t="s">
        <v>492</v>
      </c>
      <c r="C37" s="189">
        <f>IF(Standing!$C$26*0.125&gt;1,Standing!$C$26*0.125,1)</f>
        <v>1</v>
      </c>
      <c r="D37" s="218">
        <f t="shared" si="3"/>
        <v>0.3183091418</v>
      </c>
      <c r="E37" s="190">
        <f t="shared" si="4"/>
        <v>25.4</v>
      </c>
      <c r="F37" s="122">
        <f t="shared" si="5"/>
        <v>8.085052203</v>
      </c>
      <c r="G37" s="123">
        <f>C37/Introduction!$I$20</f>
        <v>0.01041666667</v>
      </c>
      <c r="H37" s="192">
        <f t="shared" si="6"/>
        <v>0.003315720227</v>
      </c>
      <c r="I37" s="124">
        <f>E37/Introduction!$I$20</f>
        <v>0.2645833333</v>
      </c>
      <c r="J37" s="125">
        <f t="shared" si="7"/>
        <v>0.08421929378</v>
      </c>
      <c r="K37" s="51"/>
      <c r="L37" s="51"/>
      <c r="M37" s="51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286"/>
      <c r="AB37" s="286" t="s">
        <v>29</v>
      </c>
      <c r="AC37" s="287">
        <f>IF('Ship Data Imperial'!E38&gt;0,'Ship Data Imperial'!E38,AD37)</f>
        <v>0</v>
      </c>
      <c r="AD37" s="287">
        <f>'Ship Data Metric'!E38*0.03280839895</f>
        <v>0</v>
      </c>
      <c r="AE37" s="284">
        <f>IF(AC37&gt;0,Standing!$C$75*0.65,0)</f>
        <v>0</v>
      </c>
      <c r="AF37" s="280">
        <f>IF(AC37&gt;0,Standing!$C$75*0.25,0)</f>
        <v>0</v>
      </c>
      <c r="AG37" s="281">
        <f>IF(AC37&gt;0,Standing!$C$75*0.2,0)</f>
        <v>0</v>
      </c>
      <c r="AH37" s="282">
        <f>IF(AC37&gt;0,Standing!$C$75*0.5,0)</f>
        <v>0</v>
      </c>
      <c r="AI37" s="283">
        <f>IF(AC37&gt;0,Standing!$C$75*0.2,0)</f>
        <v>0</v>
      </c>
      <c r="AJ37" s="284">
        <f>IF(AC37&gt;0,Standing!$C$75*0.25,0)</f>
        <v>0</v>
      </c>
      <c r="AK37" s="281">
        <f>IF(AC37&gt;0,Standing!$C$81*0.5,0)</f>
        <v>0</v>
      </c>
      <c r="AL37" s="282">
        <f t="shared" si="1"/>
        <v>0</v>
      </c>
      <c r="AM37" s="283">
        <f>IF(AC37&gt;0,Standing!$C$81*0.66,0)</f>
        <v>0</v>
      </c>
      <c r="AN37" s="284">
        <f>IF(AC37&gt;0,Standing!$C$81*0.45,0)</f>
        <v>0</v>
      </c>
      <c r="AO37" s="280">
        <f>IF(AC37&gt;0,Standing!$C$81*0.3,0)</f>
        <v>0</v>
      </c>
      <c r="AP37" s="281">
        <f>IF(AC37&gt;0,Standing!$C$81*0.9,0)</f>
        <v>0</v>
      </c>
      <c r="AQ37" s="282">
        <f>IF(AC37&gt;0,Standing!$C$85,0)</f>
        <v>0</v>
      </c>
      <c r="AR37" s="283">
        <f>IF(AC37&gt;0,Standing!$C$85*0.8,0)</f>
        <v>0</v>
      </c>
      <c r="AS37" s="284">
        <f>IF(AC37&gt;0,Standing!$C$85*0.66,0)</f>
        <v>0</v>
      </c>
      <c r="AT37" s="280">
        <f>IF(AC37&gt;0,Standing!$C$85*0.5,0)</f>
        <v>0</v>
      </c>
      <c r="AU37" s="281">
        <f>IF(AC37&gt;0,Standing!$C$75*0.25,0)</f>
        <v>0</v>
      </c>
      <c r="AV37" s="282">
        <f>IF(AC37&gt;0,Standing!$C$75*0.12,0)</f>
        <v>0</v>
      </c>
      <c r="AW37" s="283">
        <f>IF(AC37&gt;0,Standing!$C$26*0.4,0)</f>
        <v>0</v>
      </c>
      <c r="AX37" s="284">
        <f>IF(AC37&gt;0,Standing!$C$26*0.4,0)</f>
        <v>0</v>
      </c>
      <c r="AY37" s="280">
        <f>IF(AC37&gt;0,Standing!$C$26*0.2,0)</f>
        <v>0</v>
      </c>
      <c r="AZ37" s="281">
        <f>IF(AC37&gt;0,Standing!$C$26*0.33,0)</f>
        <v>0</v>
      </c>
      <c r="BA37" s="282">
        <f>IF(AC37&gt;0,Standing!$C$26*0.2,0)</f>
        <v>0</v>
      </c>
      <c r="BB37" s="283">
        <f>IF(AC37&gt;0,Standing!$C$26*0.2,0)</f>
        <v>0</v>
      </c>
      <c r="BC37" s="284">
        <f>IF(AC37&gt;0,Standing!$C$32*0.4,0)</f>
        <v>0</v>
      </c>
      <c r="BD37" s="280">
        <f>IF(AC37&gt;0,Standing!$C$32*0.5,0)</f>
        <v>0</v>
      </c>
      <c r="BE37" s="281">
        <f>IF(AC37&gt;0,Standing!$C$32*0.33,0)</f>
        <v>0</v>
      </c>
      <c r="BF37" s="282">
        <f>IF(AC37&gt;0,Standing!$C$32*0.33,0)</f>
        <v>0</v>
      </c>
      <c r="BG37" s="283">
        <f>IF(AC37&gt;0,Standing!$C$32*0.33,0)</f>
        <v>0</v>
      </c>
      <c r="BH37" s="284">
        <f>IF(AC37&gt;0,Standing!$C$32*0.4,0)</f>
        <v>0</v>
      </c>
      <c r="BI37" s="280">
        <f>IF(AC37&gt;0,Standing!$C$26*0.75,0)</f>
        <v>0</v>
      </c>
      <c r="BJ37" s="281">
        <f>IF(AC37&gt;0,Standing!$C$26*0.5,0)</f>
        <v>0</v>
      </c>
      <c r="BK37" s="282">
        <f>IF(AC37&gt;0,Standing!$C$26*0.5,0)</f>
        <v>0</v>
      </c>
      <c r="BL37" s="283">
        <f>IF(AC37&gt;0,Standing!$C$32,0)</f>
        <v>0</v>
      </c>
      <c r="BM37" s="281">
        <f>IF(AC37&gt;0,Standing!$C$32*0.85,0)</f>
        <v>0</v>
      </c>
      <c r="BN37" s="284">
        <f t="shared" si="2"/>
        <v>0</v>
      </c>
      <c r="BO37" s="282">
        <f>IF(AC37&gt;0,Standing!$C$32*0.45,0)</f>
        <v>0</v>
      </c>
      <c r="BP37" s="280">
        <f>IF(AC37&gt;0,Standing!$C$32*0.66,0)</f>
        <v>0</v>
      </c>
      <c r="BQ37" s="281">
        <f>IF(AC37&gt;0,Standing!$C$32*0.5,0)</f>
        <v>0</v>
      </c>
      <c r="BR37" s="282">
        <f>IF(AC37&gt;0,Standing!$C$32*0.4,0)</f>
        <v>0</v>
      </c>
      <c r="BS37" s="283">
        <f>IF(AC37&gt;0,Standing!$C$32*0.375,0)</f>
        <v>0</v>
      </c>
      <c r="BT37" s="284">
        <f>IF(AC37&gt;0,Standing!$C$32*0.3,0)</f>
        <v>0</v>
      </c>
      <c r="BU37" s="280">
        <f>IF(AC37&gt;0,Standing!$C$36,0)</f>
        <v>0</v>
      </c>
      <c r="BV37" s="281">
        <f>IF(AC37&gt;0,Standing!$C$36*0.66,0)</f>
        <v>0</v>
      </c>
      <c r="BW37" s="282">
        <f>IF(AC37&gt;0,Standing!$C$126*0.75,0)</f>
        <v>0</v>
      </c>
      <c r="BX37" s="283">
        <f>IF(AC37&gt;0,Standing!$C$126*0.33,0)</f>
        <v>0</v>
      </c>
      <c r="BY37" s="284">
        <f>IF(AC37&gt;0,Standing!$C$126*0.66,0)</f>
        <v>0</v>
      </c>
      <c r="BZ37" s="280">
        <f>IF(AC37&gt;0,Standing!$C$126*0.375,0)</f>
        <v>0</v>
      </c>
      <c r="CA37" s="281">
        <f>IF(AC37&gt;0,Standing!$C$132,0)</f>
        <v>0</v>
      </c>
      <c r="CB37" s="282">
        <f>IF(AC37&gt;0,Standing!$C$132*0.75,0)</f>
        <v>0</v>
      </c>
      <c r="CC37" s="283">
        <f>IF(AC37&gt;0,Standing!$C$132,0)</f>
        <v>0</v>
      </c>
      <c r="CD37" s="284">
        <f>IF(AC37&gt;0,Standing!$C$132*0.66,0)</f>
        <v>0</v>
      </c>
      <c r="CE37" s="280">
        <f>IF(AC37&gt;0,Standing!$C$132*0.5,0)</f>
        <v>0</v>
      </c>
      <c r="CF37" s="281">
        <f>IF(AC37&gt;0,Standing!$C$132*0.75,0)</f>
        <v>0</v>
      </c>
      <c r="CG37" s="282">
        <f>IF(AC37&gt;0,Standing!$C$132*0.66,0)</f>
        <v>0</v>
      </c>
      <c r="CH37" s="283">
        <f>IF(AC37&gt;0,Standing!$C$132*0.75,0)</f>
        <v>0</v>
      </c>
      <c r="CI37" s="284">
        <f>IF(AC37&gt;0,Standing!$C$132*0.66,0)</f>
        <v>0</v>
      </c>
      <c r="CJ37" s="280">
        <f>IF(AC37&gt;0,Standing!$C$132*0.66,0)</f>
        <v>0</v>
      </c>
      <c r="CK37" s="281">
        <f>IF(AC37&gt;0,Standing!$C$126*0.75,0)</f>
        <v>0</v>
      </c>
      <c r="CL37" s="282">
        <f>IF(AC37&gt;0,Standing!$C$126,0)</f>
        <v>0</v>
      </c>
      <c r="CM37" s="283">
        <f>IF(AC37&gt;0,Standing!$C$126,0)</f>
        <v>0</v>
      </c>
      <c r="CN37" s="284">
        <f>IF(AC37&gt;0,Standing!$C$126*0.66,0)</f>
        <v>0</v>
      </c>
      <c r="CO37" s="280">
        <f>IF(AC37&gt;0,Standing!$C$126*0.4,0)</f>
        <v>0</v>
      </c>
      <c r="CP37" s="281">
        <f>IF(AC37&gt;0,Standing!$C$26*0.33,0)</f>
        <v>0</v>
      </c>
      <c r="CQ37" s="282">
        <f>IF(AC37&gt;0,Standing!$C$26*0.2,0)</f>
        <v>0</v>
      </c>
      <c r="CR37" s="283">
        <f>IF(AC37&gt;0,Standing!$C$26*0.25,0)</f>
        <v>0</v>
      </c>
      <c r="CS37" s="285">
        <f>IF(AC37&gt;0,Standing!$C$26*0.2,0)</f>
        <v>0</v>
      </c>
      <c r="CT37" s="286"/>
      <c r="CU37" s="286" t="s">
        <v>29</v>
      </c>
    </row>
    <row r="38" ht="15.75" customHeight="1">
      <c r="A38" s="51"/>
      <c r="B38" s="290" t="s">
        <v>493</v>
      </c>
      <c r="C38" s="189">
        <f>Standing!$C$26*0.25</f>
        <v>1.473375984</v>
      </c>
      <c r="D38" s="218">
        <f t="shared" si="3"/>
        <v>0.4689890452</v>
      </c>
      <c r="E38" s="190">
        <f t="shared" si="4"/>
        <v>37.42375</v>
      </c>
      <c r="F38" s="122">
        <f t="shared" si="5"/>
        <v>11.91232175</v>
      </c>
      <c r="G38" s="123">
        <f>C38/Introduction!$I$20</f>
        <v>0.0153476665</v>
      </c>
      <c r="H38" s="192">
        <f t="shared" si="6"/>
        <v>0.004885302554</v>
      </c>
      <c r="I38" s="124">
        <f>E38/Introduction!$I$20</f>
        <v>0.3898307292</v>
      </c>
      <c r="J38" s="125">
        <f t="shared" si="7"/>
        <v>0.1240866849</v>
      </c>
      <c r="K38" s="51"/>
      <c r="L38" s="51"/>
      <c r="M38" s="51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286" t="s">
        <v>35</v>
      </c>
      <c r="AB38" s="286" t="s">
        <v>24</v>
      </c>
      <c r="AC38" s="287">
        <f>IF('Ship Data Imperial'!E39&gt;0,'Ship Data Imperial'!E39,AD38)</f>
        <v>0</v>
      </c>
      <c r="AD38" s="287">
        <f>'Ship Data Metric'!E39*0.03280839895</f>
        <v>0</v>
      </c>
      <c r="AE38" s="284">
        <f>IF(AC38&gt;0,Standing!$C$75*0.45,0)</f>
        <v>0</v>
      </c>
      <c r="AF38" s="280">
        <f>IF(AC38&gt;0,Standing!$C$75*0.25,0)</f>
        <v>0</v>
      </c>
      <c r="AG38" s="281">
        <f>IF(AC38&gt;0,Standing!$C$75*0.165,0)</f>
        <v>0</v>
      </c>
      <c r="AH38" s="282">
        <f>IF(AC38&gt;0,Standing!$C$75*0.5,0)</f>
        <v>0</v>
      </c>
      <c r="AI38" s="283">
        <f>IF(AC38&gt;0,Standing!$C$75*0.16,0)</f>
        <v>0</v>
      </c>
      <c r="AJ38" s="284">
        <f>IF(AC38&gt;0,Standing!$C$75*0.2,0)</f>
        <v>0</v>
      </c>
      <c r="AK38" s="281">
        <f>IF(AC38&gt;0,Standing!$C$81*0.66,0)</f>
        <v>0</v>
      </c>
      <c r="AL38" s="282">
        <f t="shared" ref="AL38:AL135" si="8">IF(AC38&gt;0,$C$206*0.66,0)</f>
        <v>0</v>
      </c>
      <c r="AM38" s="283">
        <f>IF(AC38&gt;0,Standing!$C$81*0.5,0)</f>
        <v>0</v>
      </c>
      <c r="AN38" s="284">
        <f>IF(AC38&gt;0,Standing!$C$81*0.45,0)</f>
        <v>0</v>
      </c>
      <c r="AO38" s="280">
        <f>IF(AC38&gt;0,Standing!$C$81*0.3,0)</f>
        <v>0</v>
      </c>
      <c r="AP38" s="281">
        <f>IF(AC38&gt;0,Standing!$C$81,0)</f>
        <v>0</v>
      </c>
      <c r="AQ38" s="282">
        <f>IF(AC38&gt;0,Standing!$C$85*0.9,0)</f>
        <v>0</v>
      </c>
      <c r="AR38" s="283">
        <f>IF(AC38&gt;0,Standing!$C$85*0.5,0)</f>
        <v>0</v>
      </c>
      <c r="AS38" s="284">
        <f>IF(AC38&gt;0,Standing!$C$85*0.66,0)</f>
        <v>0</v>
      </c>
      <c r="AT38" s="280">
        <f>IF(AC38&gt;0,Standing!$C$85*0.66,0)</f>
        <v>0</v>
      </c>
      <c r="AU38" s="281">
        <f>IF(AC38&gt;0,Standing!$C$75*0.2,0)</f>
        <v>0</v>
      </c>
      <c r="AV38" s="282">
        <f>IF(AC38&gt;0,Standing!$C$75*0.12,0)</f>
        <v>0</v>
      </c>
      <c r="AW38" s="283">
        <f>IF(AC38&gt;0,Standing!$C$26*0.4,0)</f>
        <v>0</v>
      </c>
      <c r="AX38" s="284">
        <f>IF(AC38&gt;0,Standing!$C$26*0.4,0)</f>
        <v>0</v>
      </c>
      <c r="AY38" s="280">
        <f>IF(AC38&gt;0,Standing!$C$26*0.2,0)</f>
        <v>0</v>
      </c>
      <c r="AZ38" s="281">
        <f>IF(AC38&gt;0,Standing!$C$26*0.33,0)</f>
        <v>0</v>
      </c>
      <c r="BA38" s="282">
        <f>IF(AC38&gt;0,Standing!$C$26*0.2,0)</f>
        <v>0</v>
      </c>
      <c r="BB38" s="283">
        <f>IF(AC38&gt;0,Standing!$C$26*0.2,0)</f>
        <v>0</v>
      </c>
      <c r="BC38" s="284">
        <f>IF(AC38&gt;0,Standing!$C$32*0.4,0)</f>
        <v>0</v>
      </c>
      <c r="BD38" s="280">
        <f>IF(AC38&gt;0,Standing!$C$32*0.5,0)</f>
        <v>0</v>
      </c>
      <c r="BE38" s="281">
        <f>IF(AC38&gt;0,Standing!$C$32*0.33,0)</f>
        <v>0</v>
      </c>
      <c r="BF38" s="282">
        <f>IF(AC38&gt;0,Standing!$C$32*0.33,0)</f>
        <v>0</v>
      </c>
      <c r="BG38" s="283">
        <f>IF(AC38&gt;0,Standing!$C$32*0.33,0)</f>
        <v>0</v>
      </c>
      <c r="BH38" s="284">
        <f>IF(AC38&gt;0,Standing!$C$32*0.33,0)</f>
        <v>0</v>
      </c>
      <c r="BI38" s="280">
        <f>IF(AC38&gt;0,Standing!$C$26*0.5,0)</f>
        <v>0</v>
      </c>
      <c r="BJ38" s="281">
        <f>IF(AC38&gt;0,Standing!$C$26*0.5,0)</f>
        <v>0</v>
      </c>
      <c r="BK38" s="282">
        <f>IF(AC38&gt;0,Standing!$C$26*0.5,0)</f>
        <v>0</v>
      </c>
      <c r="BL38" s="283">
        <f>IF(AC38&gt;0,Standing!$C$32*0.66,0)</f>
        <v>0</v>
      </c>
      <c r="BM38" s="281">
        <f>IF(AC38&gt;0,Standing!$C$32*0.9,0)</f>
        <v>0</v>
      </c>
      <c r="BN38" s="284">
        <f t="shared" ref="BN38:BN135" si="9">IF(AC38&gt;0,C117*0.66,0)</f>
        <v>0</v>
      </c>
      <c r="BO38" s="282">
        <f>IF(AC38&gt;0,Standing!$C$32*0.5,0)</f>
        <v>0</v>
      </c>
      <c r="BP38" s="280">
        <f>IF(AC38&gt;0,Standing!$C$32*0.5,0)</f>
        <v>0</v>
      </c>
      <c r="BQ38" s="281">
        <f>IF(AC38&gt;0,Standing!$C$32*0.5,0)</f>
        <v>0</v>
      </c>
      <c r="BR38" s="282">
        <f>IF(AC38&gt;0,Standing!$C$32*0.4,0)</f>
        <v>0</v>
      </c>
      <c r="BS38" s="283">
        <f>IF(AC38&gt;0,Standing!$C$32*0.33,0)</f>
        <v>0</v>
      </c>
      <c r="BT38" s="284">
        <f>IF(AC38&gt;0,Standing!$C$32*0.3,0)</f>
        <v>0</v>
      </c>
      <c r="BU38" s="280">
        <f>IF(AC38&gt;0,Standing!$C$36*0.9,0)</f>
        <v>0</v>
      </c>
      <c r="BV38" s="281">
        <f>IF(AC38&gt;0,Standing!$C$36*0.45,0)</f>
        <v>0</v>
      </c>
      <c r="BW38" s="282">
        <f>IF(AC38&gt;0,Standing!$C$126*0.75,0)</f>
        <v>0</v>
      </c>
      <c r="BX38" s="283">
        <f>IF(AC38&gt;0,Standing!$C$126*0.66,0)</f>
        <v>0</v>
      </c>
      <c r="BY38" s="284">
        <f>IF(AC38&gt;0,Standing!$C$126*0.66,0)</f>
        <v>0</v>
      </c>
      <c r="BZ38" s="280">
        <f>IF(AC38&gt;0,Standing!$C$126*0.375,0)</f>
        <v>0</v>
      </c>
      <c r="CA38" s="281">
        <f>IF(AC38&gt;0,Standing!$C$132,0)</f>
        <v>0</v>
      </c>
      <c r="CB38" s="282">
        <f>IF(AC38&gt;0,Standing!$C$132*0.75,0)</f>
        <v>0</v>
      </c>
      <c r="CC38" s="283">
        <f>IF(AC38&gt;0,Standing!$C$132,0)</f>
        <v>0</v>
      </c>
      <c r="CD38" s="284">
        <f>IF(AC38&gt;0,Standing!$C$132*0.66,0)</f>
        <v>0</v>
      </c>
      <c r="CE38" s="280">
        <f>IF(AC38&gt;0,Standing!$C$132*0.4,0)</f>
        <v>0</v>
      </c>
      <c r="CF38" s="281">
        <f>IF(AC38&gt;0,Standing!$C$132*0.75,0)</f>
        <v>0</v>
      </c>
      <c r="CG38" s="282">
        <f>IF(AC38&gt;0,Standing!$C$132*0.66,0)</f>
        <v>0</v>
      </c>
      <c r="CH38" s="283">
        <f>IF(AC38&gt;0,Standing!$C$132*0.75,0)</f>
        <v>0</v>
      </c>
      <c r="CI38" s="284">
        <f>IF(AC38&gt;0,Standing!$C$132*0.66,0)</f>
        <v>0</v>
      </c>
      <c r="CJ38" s="280">
        <f>IF(AC38&gt;0,Standing!$C$132*0.66,0)</f>
        <v>0</v>
      </c>
      <c r="CK38" s="281">
        <f>IF(AC38&gt;0,Standing!$C$126*0.75,0)</f>
        <v>0</v>
      </c>
      <c r="CL38" s="282">
        <f>IF(AC38&gt;0,Standing!$C$126,0)</f>
        <v>0</v>
      </c>
      <c r="CM38" s="283">
        <f>IF(AC38&gt;0,Standing!$C$126,0)</f>
        <v>0</v>
      </c>
      <c r="CN38" s="284">
        <f>IF(AC38&gt;0,Standing!$C$126*0.66,0)</f>
        <v>0</v>
      </c>
      <c r="CO38" s="280">
        <f>IF(AC38&gt;0,Standing!$C$126*0.4,0)</f>
        <v>0</v>
      </c>
      <c r="CP38" s="281">
        <f>IF(AC38&gt;0,Standing!$C$26*0.25,0)</f>
        <v>0</v>
      </c>
      <c r="CQ38" s="282">
        <f>IF(AC38&gt;0,Standing!$C$26*0.165,0)</f>
        <v>0</v>
      </c>
      <c r="CR38" s="283">
        <f>IF(AC38&gt;0,Standing!$C$26*0.2,0)</f>
        <v>0</v>
      </c>
      <c r="CS38" s="285">
        <f>IF(AC38&gt;0,Standing!$C$26*0.16,0)</f>
        <v>0</v>
      </c>
      <c r="CT38" s="286" t="s">
        <v>35</v>
      </c>
      <c r="CU38" s="286" t="s">
        <v>24</v>
      </c>
    </row>
    <row r="39" ht="15.75" customHeight="1">
      <c r="A39" s="51"/>
      <c r="B39" s="292" t="s">
        <v>494</v>
      </c>
      <c r="C39" s="197">
        <f>IF(Standing!$C$26*0.125&gt;1,Standing!$C$26*0.125,1)</f>
        <v>1</v>
      </c>
      <c r="D39" s="128">
        <f t="shared" si="3"/>
        <v>0.3183091418</v>
      </c>
      <c r="E39" s="248">
        <f t="shared" si="4"/>
        <v>25.4</v>
      </c>
      <c r="F39" s="130">
        <f t="shared" si="5"/>
        <v>8.085052203</v>
      </c>
      <c r="G39" s="131">
        <f>C39/Introduction!$I$20</f>
        <v>0.01041666667</v>
      </c>
      <c r="H39" s="187">
        <f t="shared" si="6"/>
        <v>0.003315720227</v>
      </c>
      <c r="I39" s="133">
        <f>E39/Introduction!$I$20</f>
        <v>0.2645833333</v>
      </c>
      <c r="J39" s="135">
        <f t="shared" si="7"/>
        <v>0.08421929378</v>
      </c>
      <c r="K39" s="51"/>
      <c r="L39" s="51"/>
      <c r="M39" s="51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286"/>
      <c r="AB39" s="286" t="s">
        <v>25</v>
      </c>
      <c r="AC39" s="287">
        <f>IF('Ship Data Imperial'!E40&gt;0,'Ship Data Imperial'!E40,AD39)</f>
        <v>0</v>
      </c>
      <c r="AD39" s="287">
        <f>'Ship Data Metric'!E40*0.03280839895</f>
        <v>0</v>
      </c>
      <c r="AE39" s="284">
        <f>IF(AC39&gt;0,Standing!$C$75*0.45,0)</f>
        <v>0</v>
      </c>
      <c r="AF39" s="280">
        <f>IF(AC39&gt;0,Standing!$C$75*0.25,0)</f>
        <v>0</v>
      </c>
      <c r="AG39" s="281">
        <f>IF(AC39&gt;0,Standing!$C$75*0.165,0)</f>
        <v>0</v>
      </c>
      <c r="AH39" s="282">
        <f>IF(AC39&gt;0,Standing!$C$75*0.5,0)</f>
        <v>0</v>
      </c>
      <c r="AI39" s="283">
        <f>IF(AC39&gt;0,Standing!$C$75*0.16,0)</f>
        <v>0</v>
      </c>
      <c r="AJ39" s="284">
        <f>IF(AC39&gt;0,Standing!$C$75*0.2,0)</f>
        <v>0</v>
      </c>
      <c r="AK39" s="281">
        <f>IF(AC39&gt;0,Standing!$C$81*0.66,0)</f>
        <v>0</v>
      </c>
      <c r="AL39" s="282">
        <f t="shared" si="8"/>
        <v>0</v>
      </c>
      <c r="AM39" s="283">
        <f>IF(AC39&gt;0,Standing!$C$81*0.5,0)</f>
        <v>0</v>
      </c>
      <c r="AN39" s="284">
        <f>IF(AC39&gt;0,Standing!$C$81*0.45,0)</f>
        <v>0</v>
      </c>
      <c r="AO39" s="280">
        <f>IF(AC39&gt;0,Standing!$C$81*0.3,0)</f>
        <v>0</v>
      </c>
      <c r="AP39" s="281">
        <f>IF(AC39&gt;0,Standing!$C$81,0)</f>
        <v>0</v>
      </c>
      <c r="AQ39" s="282">
        <f>IF(AC39&gt;0,Standing!$C$85*0.9,0)</f>
        <v>0</v>
      </c>
      <c r="AR39" s="283">
        <f>IF(AC39&gt;0,Standing!$C$85*0.5,0)</f>
        <v>0</v>
      </c>
      <c r="AS39" s="284">
        <f>IF(AC39&gt;0,Standing!$C$85*0.66,0)</f>
        <v>0</v>
      </c>
      <c r="AT39" s="280">
        <f>IF(AC39&gt;0,Standing!$C$85*0.66,0)</f>
        <v>0</v>
      </c>
      <c r="AU39" s="281">
        <f>IF(AC39&gt;0,Standing!$C$75*0.2,0)</f>
        <v>0</v>
      </c>
      <c r="AV39" s="282">
        <f>IF(AC39&gt;0,Standing!$C$75*0.12,0)</f>
        <v>0</v>
      </c>
      <c r="AW39" s="283">
        <f>IF(AC39&gt;0,Standing!$C$26*0.4,0)</f>
        <v>0</v>
      </c>
      <c r="AX39" s="284">
        <f>IF(AC39&gt;0,Standing!$C$26*0.4,0)</f>
        <v>0</v>
      </c>
      <c r="AY39" s="280">
        <f>IF(AC39&gt;0,Standing!$C$26*0.2,0)</f>
        <v>0</v>
      </c>
      <c r="AZ39" s="281">
        <f>IF(AC39&gt;0,Standing!$C$26*0.33,0)</f>
        <v>0</v>
      </c>
      <c r="BA39" s="282">
        <f>IF(AC39&gt;0,Standing!$C$26*0.2,0)</f>
        <v>0</v>
      </c>
      <c r="BB39" s="283">
        <f>IF(AC39&gt;0,Standing!$C$26*0.2,0)</f>
        <v>0</v>
      </c>
      <c r="BC39" s="284">
        <f>IF(AC39&gt;0,Standing!$C$32*0.4,0)</f>
        <v>0</v>
      </c>
      <c r="BD39" s="280">
        <f>IF(AC39&gt;0,Standing!$C$32*0.5,0)</f>
        <v>0</v>
      </c>
      <c r="BE39" s="281">
        <f>IF(AC39&gt;0,Standing!$C$32*0.33,0)</f>
        <v>0</v>
      </c>
      <c r="BF39" s="282">
        <f>IF(AC39&gt;0,Standing!$C$32*0.33,0)</f>
        <v>0</v>
      </c>
      <c r="BG39" s="283">
        <f>IF(AC39&gt;0,Standing!$C$32*0.33,0)</f>
        <v>0</v>
      </c>
      <c r="BH39" s="284">
        <f>IF(AC39&gt;0,Standing!$C$32*0.33,0)</f>
        <v>0</v>
      </c>
      <c r="BI39" s="280">
        <f>IF(AC39&gt;0,Standing!$C$26*0.5,0)</f>
        <v>0</v>
      </c>
      <c r="BJ39" s="281">
        <f>IF(AC39&gt;0,Standing!$C$26*0.5,0)</f>
        <v>0</v>
      </c>
      <c r="BK39" s="282">
        <f>IF(AC39&gt;0,Standing!$C$26*0.5,0)</f>
        <v>0</v>
      </c>
      <c r="BL39" s="283">
        <f>IF(AC39&gt;0,Standing!$C$32*0.66,0)</f>
        <v>0</v>
      </c>
      <c r="BM39" s="281">
        <f>IF(AC39&gt;0,Standing!$C$32*0.9,0)</f>
        <v>0</v>
      </c>
      <c r="BN39" s="284">
        <f t="shared" si="9"/>
        <v>0</v>
      </c>
      <c r="BO39" s="282">
        <f>IF(AC39&gt;0,Standing!$C$32*0.5,0)</f>
        <v>0</v>
      </c>
      <c r="BP39" s="280">
        <f>IF(AC39&gt;0,Standing!$C$32*0.5,0)</f>
        <v>0</v>
      </c>
      <c r="BQ39" s="281">
        <f>IF(AC39&gt;0,Standing!$C$32*0.5,0)</f>
        <v>0</v>
      </c>
      <c r="BR39" s="282">
        <f>IF(AC39&gt;0,Standing!$C$32*0.4,0)</f>
        <v>0</v>
      </c>
      <c r="BS39" s="283">
        <f>IF(AC39&gt;0,Standing!$C$32*0.33,0)</f>
        <v>0</v>
      </c>
      <c r="BT39" s="284">
        <f>IF(AC39&gt;0,Standing!$C$32*0.3,0)</f>
        <v>0</v>
      </c>
      <c r="BU39" s="280">
        <f>IF(AC39&gt;0,Standing!$C$36*0.9,0)</f>
        <v>0</v>
      </c>
      <c r="BV39" s="281">
        <f>IF(AC39&gt;0,Standing!$C$36*0.45,0)</f>
        <v>0</v>
      </c>
      <c r="BW39" s="282">
        <f>IF(AC39&gt;0,Standing!$C$126*0.75,0)</f>
        <v>0</v>
      </c>
      <c r="BX39" s="283">
        <f>IF(AC39&gt;0,Standing!$C$126*0.66,0)</f>
        <v>0</v>
      </c>
      <c r="BY39" s="284">
        <f>IF(AC39&gt;0,Standing!$C$126*0.66,0)</f>
        <v>0</v>
      </c>
      <c r="BZ39" s="280">
        <f>IF(AC39&gt;0,Standing!$C$126*0.375,0)</f>
        <v>0</v>
      </c>
      <c r="CA39" s="281">
        <f>IF(AC39&gt;0,Standing!$C$132,0)</f>
        <v>0</v>
      </c>
      <c r="CB39" s="282">
        <f>IF(AC39&gt;0,Standing!$C$132*0.75,0)</f>
        <v>0</v>
      </c>
      <c r="CC39" s="283">
        <f>IF(AC39&gt;0,Standing!$C$132,0)</f>
        <v>0</v>
      </c>
      <c r="CD39" s="284">
        <f>IF(AC39&gt;0,Standing!$C$132*0.66,0)</f>
        <v>0</v>
      </c>
      <c r="CE39" s="280">
        <f>IF(AC39&gt;0,Standing!$C$132*0.4,0)</f>
        <v>0</v>
      </c>
      <c r="CF39" s="281">
        <f>IF(AC39&gt;0,Standing!$C$132*0.75,0)</f>
        <v>0</v>
      </c>
      <c r="CG39" s="282">
        <f>IF(AC39&gt;0,Standing!$C$132*0.66,0)</f>
        <v>0</v>
      </c>
      <c r="CH39" s="283">
        <f>IF(AC39&gt;0,Standing!$C$132*0.75,0)</f>
        <v>0</v>
      </c>
      <c r="CI39" s="284">
        <f>IF(AC39&gt;0,Standing!$C$132*0.66,0)</f>
        <v>0</v>
      </c>
      <c r="CJ39" s="280">
        <f>IF(AC39&gt;0,Standing!$C$132*0.66,0)</f>
        <v>0</v>
      </c>
      <c r="CK39" s="281">
        <f>IF(AC39&gt;0,Standing!$C$126*0.75,0)</f>
        <v>0</v>
      </c>
      <c r="CL39" s="282">
        <f>IF(AC39&gt;0,Standing!$C$126,0)</f>
        <v>0</v>
      </c>
      <c r="CM39" s="283">
        <f>IF(AC39&gt;0,Standing!$C$126,0)</f>
        <v>0</v>
      </c>
      <c r="CN39" s="284">
        <f>IF(AC39&gt;0,Standing!$C$126*0.66,0)</f>
        <v>0</v>
      </c>
      <c r="CO39" s="280">
        <f>IF(AC39&gt;0,Standing!$C$126*0.4,0)</f>
        <v>0</v>
      </c>
      <c r="CP39" s="281">
        <f>IF(AC39&gt;0,Standing!$C$26*0.25,0)</f>
        <v>0</v>
      </c>
      <c r="CQ39" s="282">
        <f>IF(AC39&gt;0,Standing!$C$26*0.165,0)</f>
        <v>0</v>
      </c>
      <c r="CR39" s="283">
        <f>IF(AC39&gt;0,Standing!$C$26*0.2,0)</f>
        <v>0</v>
      </c>
      <c r="CS39" s="285">
        <f>IF(AC39&gt;0,Standing!$C$26*0.16,0)</f>
        <v>0</v>
      </c>
      <c r="CT39" s="286"/>
      <c r="CU39" s="286" t="s">
        <v>25</v>
      </c>
    </row>
    <row r="40" ht="15.75" customHeight="1">
      <c r="A40" s="51"/>
      <c r="B40" s="293" t="s">
        <v>495</v>
      </c>
      <c r="C40" s="294">
        <f>Standing!$C$26*0.25</f>
        <v>1.473375984</v>
      </c>
      <c r="D40" s="110">
        <f t="shared" si="3"/>
        <v>0.4689890452</v>
      </c>
      <c r="E40" s="180">
        <f t="shared" si="4"/>
        <v>37.42375</v>
      </c>
      <c r="F40" s="112">
        <f t="shared" si="5"/>
        <v>11.91232175</v>
      </c>
      <c r="G40" s="113">
        <f>C40/Introduction!$I$20</f>
        <v>0.0153476665</v>
      </c>
      <c r="H40" s="137">
        <f t="shared" si="6"/>
        <v>0.004885302554</v>
      </c>
      <c r="I40" s="115">
        <f>E40/Introduction!$I$20</f>
        <v>0.3898307292</v>
      </c>
      <c r="J40" s="142">
        <f t="shared" si="7"/>
        <v>0.1240866849</v>
      </c>
      <c r="K40" s="51"/>
      <c r="L40" s="51"/>
      <c r="M40" s="51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286"/>
      <c r="AB40" s="286" t="s">
        <v>26</v>
      </c>
      <c r="AC40" s="287">
        <f>IF('Ship Data Imperial'!E41&gt;0,'Ship Data Imperial'!E41,AD40)</f>
        <v>0</v>
      </c>
      <c r="AD40" s="287">
        <f>'Ship Data Metric'!E41*0.03280839895</f>
        <v>0</v>
      </c>
      <c r="AE40" s="284">
        <f>IF(AC40&gt;0,Standing!$C$75*0.45,0)</f>
        <v>0</v>
      </c>
      <c r="AF40" s="280">
        <f>IF(AC40&gt;0,Standing!$C$75*0.25,0)</f>
        <v>0</v>
      </c>
      <c r="AG40" s="281">
        <f>IF(AC40&gt;0,Standing!$C$75*0.2,0)</f>
        <v>0</v>
      </c>
      <c r="AH40" s="282">
        <f>IF(AC40&gt;0,Standing!$C$75*0.5,0)</f>
        <v>0</v>
      </c>
      <c r="AI40" s="283">
        <f>IF(AC40&gt;0,Standing!$C$75*0.2,0)</f>
        <v>0</v>
      </c>
      <c r="AJ40" s="284">
        <f>IF(AC40&gt;0,Standing!$C$75*0.25,0)</f>
        <v>0</v>
      </c>
      <c r="AK40" s="281">
        <f>IF(AC40&gt;0,Standing!$C$81*0.8,0)</f>
        <v>0</v>
      </c>
      <c r="AL40" s="282">
        <f t="shared" si="8"/>
        <v>0</v>
      </c>
      <c r="AM40" s="283">
        <f>IF(AC40&gt;0,Standing!$C$81*0.66,0)</f>
        <v>0</v>
      </c>
      <c r="AN40" s="284">
        <f>IF(AC40&gt;0,Standing!$C$81*0.45,0)</f>
        <v>0</v>
      </c>
      <c r="AO40" s="280">
        <f>IF(AC40&gt;0,Standing!$C$81*0.3,0)</f>
        <v>0</v>
      </c>
      <c r="AP40" s="281">
        <f>IF(AC40&gt;0,Standing!$C$81*0.9,0)</f>
        <v>0</v>
      </c>
      <c r="AQ40" s="282">
        <f>IF(AC40&gt;0,Standing!$C$85*0.9,0)</f>
        <v>0</v>
      </c>
      <c r="AR40" s="283">
        <f>IF(AC40&gt;0,Standing!$C$85*0.5,0)</f>
        <v>0</v>
      </c>
      <c r="AS40" s="284">
        <f>IF(AC40&gt;0,Standing!$C$85*0.66,0)</f>
        <v>0</v>
      </c>
      <c r="AT40" s="280">
        <f>IF(AC40&gt;0,Standing!$C$85*0.66,0)</f>
        <v>0</v>
      </c>
      <c r="AU40" s="281">
        <f>IF(AC40&gt;0,Standing!$C$75*0.2,0)</f>
        <v>0</v>
      </c>
      <c r="AV40" s="282">
        <f>IF(AC40&gt;0,Standing!$C$75*0.12,0)</f>
        <v>0</v>
      </c>
      <c r="AW40" s="283">
        <f>IF(AC40&gt;0,Standing!$C$26*0.4,0)</f>
        <v>0</v>
      </c>
      <c r="AX40" s="284">
        <f>IF(AC40&gt;0,Standing!$C$26*0.4,0)</f>
        <v>0</v>
      </c>
      <c r="AY40" s="280">
        <f>IF(AC40&gt;0,Standing!$C$26*0.2,0)</f>
        <v>0</v>
      </c>
      <c r="AZ40" s="281">
        <f>IF(AC40&gt;0,Standing!$C$26*0.33,0)</f>
        <v>0</v>
      </c>
      <c r="BA40" s="282">
        <f>IF(AC40&gt;0,Standing!$C$26*0.2,0)</f>
        <v>0</v>
      </c>
      <c r="BB40" s="283">
        <f>IF(AC40&gt;0,Standing!$C$26*0.2,0)</f>
        <v>0</v>
      </c>
      <c r="BC40" s="284">
        <f>IF(AC40&gt;0,Standing!$C$32*0.4,0)</f>
        <v>0</v>
      </c>
      <c r="BD40" s="280">
        <f>IF(AC40&gt;0,Standing!$C$32*0.5,0)</f>
        <v>0</v>
      </c>
      <c r="BE40" s="281">
        <f>IF(AC40&gt;0,Standing!$C$32*0.33,0)</f>
        <v>0</v>
      </c>
      <c r="BF40" s="282">
        <f>IF(AC40&gt;0,Standing!$C$32*0.33,0)</f>
        <v>0</v>
      </c>
      <c r="BG40" s="283">
        <f>IF(AC40&gt;0,Standing!$C$32*0.33,0)</f>
        <v>0</v>
      </c>
      <c r="BH40" s="284">
        <f>IF(AC40&gt;0,Standing!$C$32*0.4,0)</f>
        <v>0</v>
      </c>
      <c r="BI40" s="280">
        <f>IF(AC40&gt;0,Standing!$C$26*0.5,0)</f>
        <v>0</v>
      </c>
      <c r="BJ40" s="281">
        <f>IF(AC40&gt;0,Standing!$C$26*0.5,0)</f>
        <v>0</v>
      </c>
      <c r="BK40" s="282">
        <f>IF(AC40&gt;0,Standing!$C$26*0.5,0)</f>
        <v>0</v>
      </c>
      <c r="BL40" s="283">
        <f>IF(AC40&gt;0,Standing!$C$32*0.66,0)</f>
        <v>0</v>
      </c>
      <c r="BM40" s="281">
        <f>IF(AC40&gt;0,Standing!$C$32*0.85,0)</f>
        <v>0</v>
      </c>
      <c r="BN40" s="284">
        <f t="shared" si="9"/>
        <v>0</v>
      </c>
      <c r="BO40" s="282">
        <f>IF(AC40&gt;0,Standing!$C$32*0.5,0)</f>
        <v>0</v>
      </c>
      <c r="BP40" s="280">
        <f>IF(AC40&gt;0,Standing!$C$32*0.5,0)</f>
        <v>0</v>
      </c>
      <c r="BQ40" s="281">
        <f>IF(AC40&gt;0,Standing!$C$32*0.5,0)</f>
        <v>0</v>
      </c>
      <c r="BR40" s="282">
        <f>IF(AC40&gt;0,Standing!$C$32*0.4,0)</f>
        <v>0</v>
      </c>
      <c r="BS40" s="283">
        <f>IF(AC40&gt;0,Standing!$C$32*0.33,0)</f>
        <v>0</v>
      </c>
      <c r="BT40" s="284">
        <f>IF(AC40&gt;0,Standing!$C$32*0.3,0)</f>
        <v>0</v>
      </c>
      <c r="BU40" s="280">
        <f>IF(AC40&gt;0,Standing!$C$36*0.9,0)</f>
        <v>0</v>
      </c>
      <c r="BV40" s="281">
        <f>IF(AC40&gt;0,Standing!$C$36*0.45,0)</f>
        <v>0</v>
      </c>
      <c r="BW40" s="282">
        <f>IF(AC40&gt;0,Standing!$C$126*0.75,0)</f>
        <v>0</v>
      </c>
      <c r="BX40" s="283">
        <f>IF(AC40&gt;0,Standing!$C$126*0.66,0)</f>
        <v>0</v>
      </c>
      <c r="BY40" s="284">
        <f>IF(AC40&gt;0,Standing!$C$126*0.66,0)</f>
        <v>0</v>
      </c>
      <c r="BZ40" s="280">
        <f>IF(AC40&gt;0,Standing!$C$126*0.375,0)</f>
        <v>0</v>
      </c>
      <c r="CA40" s="281">
        <f>IF(AC40&gt;0,Standing!$C$132,0)</f>
        <v>0</v>
      </c>
      <c r="CB40" s="282">
        <f>IF(AC40&gt;0,Standing!$C$132*0.75,0)</f>
        <v>0</v>
      </c>
      <c r="CC40" s="283">
        <f>IF(AC40&gt;0,Standing!$C$132,0)</f>
        <v>0</v>
      </c>
      <c r="CD40" s="284">
        <f>IF(AC40&gt;0,Standing!$C$132*0.66,0)</f>
        <v>0</v>
      </c>
      <c r="CE40" s="280">
        <f>IF(AC40&gt;0,Standing!$C$132*0.4,0)</f>
        <v>0</v>
      </c>
      <c r="CF40" s="281">
        <f>IF(AC40&gt;0,Standing!$C$132*0.75,0)</f>
        <v>0</v>
      </c>
      <c r="CG40" s="282">
        <f>IF(AC40&gt;0,Standing!$C$132*0.66,0)</f>
        <v>0</v>
      </c>
      <c r="CH40" s="283">
        <f>IF(AC40&gt;0,Standing!$C$132*0.75,0)</f>
        <v>0</v>
      </c>
      <c r="CI40" s="284">
        <f>IF(AC40&gt;0,Standing!$C$132*0.66,0)</f>
        <v>0</v>
      </c>
      <c r="CJ40" s="280">
        <f>IF(AC40&gt;0,Standing!$C$132*0.66,0)</f>
        <v>0</v>
      </c>
      <c r="CK40" s="281">
        <f>IF(AC40&gt;0,Standing!$C$126*0.75,0)</f>
        <v>0</v>
      </c>
      <c r="CL40" s="282">
        <f>IF(AC40&gt;0,Standing!$C$126,0)</f>
        <v>0</v>
      </c>
      <c r="CM40" s="283">
        <f>IF(AC40&gt;0,Standing!$C$126,0)</f>
        <v>0</v>
      </c>
      <c r="CN40" s="284">
        <f>IF(AC40&gt;0,Standing!$C$126*0.66,0)</f>
        <v>0</v>
      </c>
      <c r="CO40" s="280">
        <f>IF(AC40&gt;0,Standing!$C$126*0.4,0)</f>
        <v>0</v>
      </c>
      <c r="CP40" s="281">
        <f>IF(AC40&gt;0,Standing!$C$26*0.25,0)</f>
        <v>0</v>
      </c>
      <c r="CQ40" s="282">
        <f>IF(AC40&gt;0,Standing!$C$26*0.2,0)</f>
        <v>0</v>
      </c>
      <c r="CR40" s="283">
        <f>IF(AC40&gt;0,Standing!$C$26*0.25,0)</f>
        <v>0</v>
      </c>
      <c r="CS40" s="285">
        <f>IF(AC40&gt;0,Standing!$C$26*0.2,0)</f>
        <v>0</v>
      </c>
      <c r="CT40" s="286"/>
      <c r="CU40" s="286" t="s">
        <v>26</v>
      </c>
    </row>
    <row r="41" ht="15.75" customHeight="1">
      <c r="A41" s="51"/>
      <c r="B41" s="295" t="s">
        <v>496</v>
      </c>
      <c r="C41" s="217">
        <f>BI136</f>
        <v>4.420127953</v>
      </c>
      <c r="D41" s="218">
        <f t="shared" si="3"/>
        <v>1.406967135</v>
      </c>
      <c r="E41" s="190">
        <f t="shared" si="4"/>
        <v>112.27125</v>
      </c>
      <c r="F41" s="122">
        <f t="shared" si="5"/>
        <v>35.73696524</v>
      </c>
      <c r="G41" s="123">
        <f>C41/Introduction!$I$20</f>
        <v>0.04604299951</v>
      </c>
      <c r="H41" s="192">
        <f t="shared" si="6"/>
        <v>0.01465590766</v>
      </c>
      <c r="I41" s="124">
        <f>E41/Introduction!$I$20</f>
        <v>1.169492187</v>
      </c>
      <c r="J41" s="125">
        <f t="shared" si="7"/>
        <v>0.3722600546</v>
      </c>
      <c r="K41" s="51"/>
      <c r="L41" s="51"/>
      <c r="M41" s="51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286"/>
      <c r="AB41" s="286" t="s">
        <v>27</v>
      </c>
      <c r="AC41" s="287">
        <f>IF('Ship Data Imperial'!E42&gt;0,'Ship Data Imperial'!E42,AD41)</f>
        <v>0</v>
      </c>
      <c r="AD41" s="287">
        <f>'Ship Data Metric'!E42*0.03280839895</f>
        <v>0</v>
      </c>
      <c r="AE41" s="284">
        <f>IF(AC41&gt;0,Standing!$C$75*0.45,0)</f>
        <v>0</v>
      </c>
      <c r="AF41" s="280">
        <f>IF(AC41&gt;0,Standing!$C$75*0.33,0)</f>
        <v>0</v>
      </c>
      <c r="AG41" s="281">
        <f>IF(AC41&gt;0,Standing!$C$75*0.2,0)</f>
        <v>0</v>
      </c>
      <c r="AH41" s="282">
        <f>IF(AC41&gt;0,Standing!$C$75*0.5,0)</f>
        <v>0</v>
      </c>
      <c r="AI41" s="283">
        <f>IF(AC41&gt;0,Standing!$C$75*0.2,0)</f>
        <v>0</v>
      </c>
      <c r="AJ41" s="284">
        <f>IF(AC41&gt;0,Standing!$C$75*0.25,0)</f>
        <v>0</v>
      </c>
      <c r="AK41" s="281">
        <f>IF(AC41&gt;0,Standing!$C$81*0.8,0)</f>
        <v>0</v>
      </c>
      <c r="AL41" s="282">
        <f t="shared" si="8"/>
        <v>0</v>
      </c>
      <c r="AM41" s="283">
        <f>IF(AC41&gt;0,Standing!$C$81*0.66,0)</f>
        <v>0</v>
      </c>
      <c r="AN41" s="284">
        <f>IF(AC41&gt;0,Standing!$C$81*0.45,0)</f>
        <v>0</v>
      </c>
      <c r="AO41" s="280">
        <f>IF(AC41&gt;0,Standing!$C$81*0.3,0)</f>
        <v>0</v>
      </c>
      <c r="AP41" s="281">
        <f>IF(AC41&gt;0,Standing!$C$81*0.9,0)</f>
        <v>0</v>
      </c>
      <c r="AQ41" s="282">
        <f>IF(AC41&gt;0,Standing!$C$85*0.9,0)</f>
        <v>0</v>
      </c>
      <c r="AR41" s="283">
        <f>IF(AC41&gt;0,Standing!$C$85*0.5,0)</f>
        <v>0</v>
      </c>
      <c r="AS41" s="284">
        <f>IF(AC41&gt;0,Standing!$C$85*0.66,0)</f>
        <v>0</v>
      </c>
      <c r="AT41" s="280">
        <f>IF(AC41&gt;0,Standing!$C$85*0.66,0)</f>
        <v>0</v>
      </c>
      <c r="AU41" s="281">
        <f>IF(AC41&gt;0,Standing!$C$75*0.25,0)</f>
        <v>0</v>
      </c>
      <c r="AV41" s="282">
        <f>IF(AC41&gt;0,Standing!$C$75*0.12,0)</f>
        <v>0</v>
      </c>
      <c r="AW41" s="283">
        <f>IF(AC41&gt;0,Standing!$C$26*0.4,0)</f>
        <v>0</v>
      </c>
      <c r="AX41" s="284">
        <f>IF(AC41&gt;0,Standing!$C$26*0.4,0)</f>
        <v>0</v>
      </c>
      <c r="AY41" s="280">
        <f>IF(AC41&gt;0,Standing!$C$26*0.2,0)</f>
        <v>0</v>
      </c>
      <c r="AZ41" s="281">
        <f>IF(AC41&gt;0,Standing!$C$26*0.33,0)</f>
        <v>0</v>
      </c>
      <c r="BA41" s="282">
        <f>IF(AC41&gt;0,Standing!$C$26*0.2,0)</f>
        <v>0</v>
      </c>
      <c r="BB41" s="283">
        <f>IF(AC41&gt;0,Standing!$C$26*0.2,0)</f>
        <v>0</v>
      </c>
      <c r="BC41" s="284">
        <f>IF(AC41&gt;0,Standing!$C$32*0.4,0)</f>
        <v>0</v>
      </c>
      <c r="BD41" s="280">
        <f>IF(AC41&gt;0,Standing!$C$32*0.5,0)</f>
        <v>0</v>
      </c>
      <c r="BE41" s="281">
        <f>IF(AC41&gt;0,Standing!$C$32*0.33,0)</f>
        <v>0</v>
      </c>
      <c r="BF41" s="282">
        <f>IF(AC41&gt;0,Standing!$C$32*0.33,0)</f>
        <v>0</v>
      </c>
      <c r="BG41" s="283">
        <f>IF(AC41&gt;0,Standing!$C$32*0.33,0)</f>
        <v>0</v>
      </c>
      <c r="BH41" s="284">
        <f>IF(AC41&gt;0,Standing!$C$32*0.4,0)</f>
        <v>0</v>
      </c>
      <c r="BI41" s="280">
        <f>IF(AC41&gt;0,Standing!$C$26*0.5,0)</f>
        <v>0</v>
      </c>
      <c r="BJ41" s="281">
        <f>IF(AC41&gt;0,Standing!$C$26*0.5,0)</f>
        <v>0</v>
      </c>
      <c r="BK41" s="282">
        <f>IF(AC41&gt;0,Standing!$C$26*0.5,0)</f>
        <v>0</v>
      </c>
      <c r="BL41" s="283">
        <f>IF(AC41&gt;0,Standing!$C$32*0.66,0)</f>
        <v>0</v>
      </c>
      <c r="BM41" s="281">
        <f>IF(AC41&gt;0,Standing!$C$32*0.85,0)</f>
        <v>0</v>
      </c>
      <c r="BN41" s="284">
        <f t="shared" si="9"/>
        <v>0</v>
      </c>
      <c r="BO41" s="282">
        <f>IF(AC41&gt;0,Standing!$C$32*0.45,0)</f>
        <v>0</v>
      </c>
      <c r="BP41" s="280">
        <f>IF(AC41&gt;0,Standing!$C$32*0.66,0)</f>
        <v>0</v>
      </c>
      <c r="BQ41" s="281">
        <f>IF(AC41&gt;0,Standing!$C$32*0.5,0)</f>
        <v>0</v>
      </c>
      <c r="BR41" s="282">
        <f>IF(AC41&gt;0,Standing!$C$32*0.4,0)</f>
        <v>0</v>
      </c>
      <c r="BS41" s="283">
        <f>IF(AC41&gt;0,Standing!$C$32*0.33,0)</f>
        <v>0</v>
      </c>
      <c r="BT41" s="284">
        <f>IF(AC41&gt;0,Standing!$C$32*0.3,0)</f>
        <v>0</v>
      </c>
      <c r="BU41" s="280">
        <f>IF(AC41&gt;0,Standing!$C$36*0.9,0)</f>
        <v>0</v>
      </c>
      <c r="BV41" s="281">
        <f>IF(AC41&gt;0,Standing!$C$36*0.45,0)</f>
        <v>0</v>
      </c>
      <c r="BW41" s="282">
        <f>IF(AC41&gt;0,Standing!$C$126*0.75,0)</f>
        <v>0</v>
      </c>
      <c r="BX41" s="283">
        <f>IF(AC41&gt;0,Standing!$C$126*0.66,0)</f>
        <v>0</v>
      </c>
      <c r="BY41" s="284">
        <f>IF(AC41&gt;0,Standing!$C$126*0.66,0)</f>
        <v>0</v>
      </c>
      <c r="BZ41" s="280">
        <f>IF(AC41&gt;0,Standing!$C$126*0.375,0)</f>
        <v>0</v>
      </c>
      <c r="CA41" s="281">
        <f>IF(AC41&gt;0,Standing!$C$132,0)</f>
        <v>0</v>
      </c>
      <c r="CB41" s="282">
        <f>IF(AC41&gt;0,Standing!$C$132*0.75,0)</f>
        <v>0</v>
      </c>
      <c r="CC41" s="283">
        <f>IF(AC41&gt;0,Standing!$C$132,0)</f>
        <v>0</v>
      </c>
      <c r="CD41" s="284">
        <f>IF(AC41&gt;0,Standing!$C$132*0.66,0)</f>
        <v>0</v>
      </c>
      <c r="CE41" s="280">
        <f>IF(AC41&gt;0,Standing!$C$132*0.5,0)</f>
        <v>0</v>
      </c>
      <c r="CF41" s="281">
        <f>IF(AC41&gt;0,Standing!$C$132*0.75,0)</f>
        <v>0</v>
      </c>
      <c r="CG41" s="282">
        <f>IF(AC41&gt;0,Standing!$C$132*0.66,0)</f>
        <v>0</v>
      </c>
      <c r="CH41" s="283">
        <f>IF(AC41&gt;0,Standing!$C$132*0.75,0)</f>
        <v>0</v>
      </c>
      <c r="CI41" s="284">
        <f>IF(AC41&gt;0,Standing!$C$132*0.66,0)</f>
        <v>0</v>
      </c>
      <c r="CJ41" s="280">
        <f>IF(AC41&gt;0,Standing!$C$132*0.66,0)</f>
        <v>0</v>
      </c>
      <c r="CK41" s="281">
        <f>IF(AC41&gt;0,Standing!$C$126*0.75,0)</f>
        <v>0</v>
      </c>
      <c r="CL41" s="282">
        <f>IF(AC41&gt;0,Standing!$C$126,0)</f>
        <v>0</v>
      </c>
      <c r="CM41" s="283">
        <f>IF(AC41&gt;0,Standing!$C$126,0)</f>
        <v>0</v>
      </c>
      <c r="CN41" s="284">
        <f>IF(AC41&gt;0,Standing!$C$126*0.66,0)</f>
        <v>0</v>
      </c>
      <c r="CO41" s="280">
        <f>IF(AC41&gt;0,Standing!$C$126*0.4,0)</f>
        <v>0</v>
      </c>
      <c r="CP41" s="281">
        <f>IF(AC41&gt;0,Standing!$C$26*0.33,0)</f>
        <v>0</v>
      </c>
      <c r="CQ41" s="282">
        <f>IF(AC41&gt;0,Standing!$C$26*0.2,0)</f>
        <v>0</v>
      </c>
      <c r="CR41" s="283">
        <f>IF(AC41&gt;0,Standing!$C$26*0.25,0)</f>
        <v>0</v>
      </c>
      <c r="CS41" s="285">
        <f>IF(AC41&gt;0,Standing!$C$26*0.2,0)</f>
        <v>0</v>
      </c>
      <c r="CT41" s="286"/>
      <c r="CU41" s="286" t="s">
        <v>27</v>
      </c>
    </row>
    <row r="42" ht="15.75" customHeight="1">
      <c r="A42" s="51"/>
      <c r="B42" s="296" t="s">
        <v>497</v>
      </c>
      <c r="C42" s="189">
        <f>Standing!$C$26*0.25</f>
        <v>1.473375984</v>
      </c>
      <c r="D42" s="218">
        <f t="shared" si="3"/>
        <v>0.4689890452</v>
      </c>
      <c r="E42" s="190">
        <f t="shared" si="4"/>
        <v>37.42375</v>
      </c>
      <c r="F42" s="122">
        <f t="shared" si="5"/>
        <v>11.91232175</v>
      </c>
      <c r="G42" s="123">
        <f>C42/Introduction!$I$20</f>
        <v>0.0153476665</v>
      </c>
      <c r="H42" s="192">
        <f t="shared" si="6"/>
        <v>0.004885302554</v>
      </c>
      <c r="I42" s="124">
        <f>E42/Introduction!$I$20</f>
        <v>0.3898307292</v>
      </c>
      <c r="J42" s="125">
        <f t="shared" si="7"/>
        <v>0.1240866849</v>
      </c>
      <c r="K42" s="51"/>
      <c r="L42" s="51"/>
      <c r="M42" s="51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286"/>
      <c r="AB42" s="286" t="s">
        <v>28</v>
      </c>
      <c r="AC42" s="287">
        <f>IF('Ship Data Imperial'!E43&gt;0,'Ship Data Imperial'!E43,AD42)</f>
        <v>0</v>
      </c>
      <c r="AD42" s="287">
        <f>'Ship Data Metric'!E43*0.03280839895</f>
        <v>0</v>
      </c>
      <c r="AE42" s="284">
        <f>IF(AC42&gt;0,Standing!$C$75*0.65,0)</f>
        <v>0</v>
      </c>
      <c r="AF42" s="280">
        <f>IF(AC42&gt;0,Standing!$C$75*0.25,0)</f>
        <v>0</v>
      </c>
      <c r="AG42" s="281">
        <f>IF(AC42&gt;0,Standing!$C$75*0.2,0)</f>
        <v>0</v>
      </c>
      <c r="AH42" s="282">
        <f>IF(AC42&gt;0,Standing!$C$75*0.5,0)</f>
        <v>0</v>
      </c>
      <c r="AI42" s="283">
        <f>IF(AC42&gt;0,Standing!$C$75*0.2,0)</f>
        <v>0</v>
      </c>
      <c r="AJ42" s="284">
        <f>IF(AC42&gt;0,Standing!$C$75*0.25,0)</f>
        <v>0</v>
      </c>
      <c r="AK42" s="281">
        <f>IF(AC42&gt;0,Standing!$C$81*0.8,0)</f>
        <v>0</v>
      </c>
      <c r="AL42" s="282">
        <f t="shared" si="8"/>
        <v>0</v>
      </c>
      <c r="AM42" s="283">
        <f>IF(AC42&gt;0,Standing!$C$81*0.66,0)</f>
        <v>0</v>
      </c>
      <c r="AN42" s="284">
        <f>IF(AC42&gt;0,Standing!$C$81*0.45,0)</f>
        <v>0</v>
      </c>
      <c r="AO42" s="280">
        <f>IF(AC42&gt;0,Standing!$C$81*0.3,0)</f>
        <v>0</v>
      </c>
      <c r="AP42" s="281">
        <f>IF(AC42&gt;0,Standing!$C$81*0.9,0)</f>
        <v>0</v>
      </c>
      <c r="AQ42" s="282">
        <f>IF(AC42&gt;0,Standing!$C$85*0.9,0)</f>
        <v>0</v>
      </c>
      <c r="AR42" s="283">
        <f>IF(AC42&gt;0,Standing!$C$85*0.5,0)</f>
        <v>0</v>
      </c>
      <c r="AS42" s="284">
        <f>IF(AC42&gt;0,Standing!$C$85*0.66,0)</f>
        <v>0</v>
      </c>
      <c r="AT42" s="280">
        <f>IF(AC42&gt;0,Standing!$C$85*0.66,0)</f>
        <v>0</v>
      </c>
      <c r="AU42" s="281">
        <f>IF(AC42&gt;0,Standing!$C$75*0.25,0)</f>
        <v>0</v>
      </c>
      <c r="AV42" s="282">
        <f>IF(AC42&gt;0,Standing!$C$75*0.12,0)</f>
        <v>0</v>
      </c>
      <c r="AW42" s="283">
        <f>IF(AC42&gt;0,Standing!$C$26*0.4,0)</f>
        <v>0</v>
      </c>
      <c r="AX42" s="284">
        <f>IF(AC42&gt;0,Standing!$C$26*0.4,0)</f>
        <v>0</v>
      </c>
      <c r="AY42" s="280">
        <f>IF(AC42&gt;0,Standing!$C$26*0.2,0)</f>
        <v>0</v>
      </c>
      <c r="AZ42" s="281">
        <f>IF(AC42&gt;0,Standing!$C$26*0.33,0)</f>
        <v>0</v>
      </c>
      <c r="BA42" s="282">
        <f>IF(AC42&gt;0,Standing!$C$26*0.2,0)</f>
        <v>0</v>
      </c>
      <c r="BB42" s="283">
        <f>IF(AC42&gt;0,Standing!$C$26*0.2,0)</f>
        <v>0</v>
      </c>
      <c r="BC42" s="284">
        <f>IF(AC42&gt;0,Standing!$C$32*0.4,0)</f>
        <v>0</v>
      </c>
      <c r="BD42" s="280">
        <f>IF(AC42&gt;0,Standing!$C$32*0.5,0)</f>
        <v>0</v>
      </c>
      <c r="BE42" s="281">
        <f>IF(AC42&gt;0,Standing!$C$32*0.33,0)</f>
        <v>0</v>
      </c>
      <c r="BF42" s="282">
        <f>IF(AC42&gt;0,Standing!$C$32*0.33,0)</f>
        <v>0</v>
      </c>
      <c r="BG42" s="283">
        <f>IF(AC42&gt;0,Standing!$C$32*0.33,0)</f>
        <v>0</v>
      </c>
      <c r="BH42" s="284">
        <f>IF(AC42&gt;0,Standing!$C$32*0.4,0)</f>
        <v>0</v>
      </c>
      <c r="BI42" s="280">
        <f>IF(AC42&gt;0,Standing!$C$26*0.75,0)</f>
        <v>0</v>
      </c>
      <c r="BJ42" s="281">
        <f>IF(AC42&gt;0,Standing!$C$26*0.5,0)</f>
        <v>0</v>
      </c>
      <c r="BK42" s="282">
        <f>IF(AC42&gt;0,Standing!$C$26*0.5,0)</f>
        <v>0</v>
      </c>
      <c r="BL42" s="283">
        <f>IF(AC42&gt;0,Standing!$C$32*0.66,0)</f>
        <v>0</v>
      </c>
      <c r="BM42" s="281">
        <f>IF(AC42&gt;0,Standing!$C$32*0.85,0)</f>
        <v>0</v>
      </c>
      <c r="BN42" s="284">
        <f t="shared" si="9"/>
        <v>0</v>
      </c>
      <c r="BO42" s="282">
        <f>IF(AC42&gt;0,Standing!$C$32*0.45,0)</f>
        <v>0</v>
      </c>
      <c r="BP42" s="280">
        <f>IF(AC42&gt;0,Standing!$C$32*0.66,0)</f>
        <v>0</v>
      </c>
      <c r="BQ42" s="281">
        <f>IF(AC42&gt;0,Standing!$C$32*0.5,0)</f>
        <v>0</v>
      </c>
      <c r="BR42" s="282">
        <f>IF(AC42&gt;0,Standing!$C$32*0.4,0)</f>
        <v>0</v>
      </c>
      <c r="BS42" s="283">
        <f>IF(AC42&gt;0,Standing!$C$32*0.33,0)</f>
        <v>0</v>
      </c>
      <c r="BT42" s="284">
        <f>IF(AC42&gt;0,Standing!$C$32*0.3,0)</f>
        <v>0</v>
      </c>
      <c r="BU42" s="280">
        <f>IF(AC42&gt;0,Standing!$C$36*0.9,0)</f>
        <v>0</v>
      </c>
      <c r="BV42" s="281">
        <f>IF(AC42&gt;0,Standing!$C$36*0.45,0)</f>
        <v>0</v>
      </c>
      <c r="BW42" s="282">
        <f>IF(AC42&gt;0,Standing!$C$126*0.75,0)</f>
        <v>0</v>
      </c>
      <c r="BX42" s="283">
        <f>IF(AC42&gt;0,Standing!$C$126*0.66,0)</f>
        <v>0</v>
      </c>
      <c r="BY42" s="284">
        <f>IF(AC42&gt;0,Standing!$C$126*0.66,0)</f>
        <v>0</v>
      </c>
      <c r="BZ42" s="280">
        <f>IF(AC42&gt;0,Standing!$C$126*0.375,0)</f>
        <v>0</v>
      </c>
      <c r="CA42" s="281">
        <f>IF(AC42&gt;0,Standing!$C$132,0)</f>
        <v>0</v>
      </c>
      <c r="CB42" s="282">
        <f>IF(AC42&gt;0,Standing!$C$132*0.75,0)</f>
        <v>0</v>
      </c>
      <c r="CC42" s="283">
        <f>IF(AC42&gt;0,Standing!$C$132,0)</f>
        <v>0</v>
      </c>
      <c r="CD42" s="284">
        <f>IF(AC42&gt;0,Standing!$C$132*0.66,0)</f>
        <v>0</v>
      </c>
      <c r="CE42" s="280">
        <f>IF(AC42&gt;0,Standing!$C$132*0.5,0)</f>
        <v>0</v>
      </c>
      <c r="CF42" s="281">
        <f>IF(AC42&gt;0,Standing!$C$132*0.75,0)</f>
        <v>0</v>
      </c>
      <c r="CG42" s="282">
        <f>IF(AC42&gt;0,Standing!$C$132*0.66,0)</f>
        <v>0</v>
      </c>
      <c r="CH42" s="283">
        <f>IF(AC42&gt;0,Standing!$C$132*0.75,0)</f>
        <v>0</v>
      </c>
      <c r="CI42" s="284">
        <f>IF(AC42&gt;0,Standing!$C$132*0.66,0)</f>
        <v>0</v>
      </c>
      <c r="CJ42" s="280">
        <f>IF(AC42&gt;0,Standing!$C$132*0.66,0)</f>
        <v>0</v>
      </c>
      <c r="CK42" s="281">
        <f>IF(AC42&gt;0,Standing!$C$126*0.75,0)</f>
        <v>0</v>
      </c>
      <c r="CL42" s="282">
        <f>IF(AC42&gt;0,Standing!$C$126,0)</f>
        <v>0</v>
      </c>
      <c r="CM42" s="283">
        <f>IF(AC42&gt;0,Standing!$C$126,0)</f>
        <v>0</v>
      </c>
      <c r="CN42" s="284">
        <f>IF(AC42&gt;0,Standing!$C$126*0.66,0)</f>
        <v>0</v>
      </c>
      <c r="CO42" s="280">
        <f>IF(AC42&gt;0,Standing!$C$126*0.4,0)</f>
        <v>0</v>
      </c>
      <c r="CP42" s="281">
        <f>IF(AC42&gt;0,Standing!$C$26*0.33,0)</f>
        <v>0</v>
      </c>
      <c r="CQ42" s="282">
        <f>IF(AC42&gt;0,Standing!$C$26*0.2,0)</f>
        <v>0</v>
      </c>
      <c r="CR42" s="283">
        <f>IF(AC42&gt;0,Standing!$C$26*0.25,0)</f>
        <v>0</v>
      </c>
      <c r="CS42" s="285">
        <f>IF(AC42&gt;0,Standing!$C$26*0.2,0)</f>
        <v>0</v>
      </c>
      <c r="CT42" s="286"/>
      <c r="CU42" s="286" t="s">
        <v>28</v>
      </c>
    </row>
    <row r="43" ht="15.75" customHeight="1">
      <c r="A43" s="51"/>
      <c r="B43" s="296" t="s">
        <v>498</v>
      </c>
      <c r="C43" s="189">
        <f>Standing!$C$26*0.375</f>
        <v>2.210063976</v>
      </c>
      <c r="D43" s="218">
        <f t="shared" si="3"/>
        <v>0.7034835677</v>
      </c>
      <c r="E43" s="190">
        <f t="shared" si="4"/>
        <v>56.135625</v>
      </c>
      <c r="F43" s="122">
        <f t="shared" si="5"/>
        <v>17.86848262</v>
      </c>
      <c r="G43" s="123">
        <f>C43/Introduction!$I$20</f>
        <v>0.02302149975</v>
      </c>
      <c r="H43" s="192">
        <f t="shared" si="6"/>
        <v>0.00732795383</v>
      </c>
      <c r="I43" s="124">
        <f>E43/Introduction!$I$20</f>
        <v>0.5847460937</v>
      </c>
      <c r="J43" s="125">
        <f t="shared" si="7"/>
        <v>0.1861300273</v>
      </c>
      <c r="K43" s="51"/>
      <c r="L43" s="51"/>
      <c r="M43" s="51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286"/>
      <c r="AB43" s="286" t="s">
        <v>29</v>
      </c>
      <c r="AC43" s="287">
        <f>IF('Ship Data Imperial'!E44&gt;0,'Ship Data Imperial'!E44,AD43)</f>
        <v>0</v>
      </c>
      <c r="AD43" s="287">
        <f>'Ship Data Metric'!E44*0.03280839895</f>
        <v>0</v>
      </c>
      <c r="AE43" s="284">
        <f>IF(AC43&gt;0,Standing!$C$75*0.65,0)</f>
        <v>0</v>
      </c>
      <c r="AF43" s="280">
        <f>IF(AC43&gt;0,Standing!$C$75*0.25,0)</f>
        <v>0</v>
      </c>
      <c r="AG43" s="281">
        <f>IF(AC43&gt;0,Standing!$C$75*0.2,0)</f>
        <v>0</v>
      </c>
      <c r="AH43" s="282">
        <f>IF(AC43&gt;0,Standing!$C$75*0.5,0)</f>
        <v>0</v>
      </c>
      <c r="AI43" s="283">
        <f>IF(AC43&gt;0,Standing!$C$75*0.2,0)</f>
        <v>0</v>
      </c>
      <c r="AJ43" s="284">
        <f>IF(AC43&gt;0,Standing!$C$75*0.25,0)</f>
        <v>0</v>
      </c>
      <c r="AK43" s="281">
        <f>IF(AC43&gt;0,Standing!$C$81*0.8,0)</f>
        <v>0</v>
      </c>
      <c r="AL43" s="282">
        <f t="shared" si="8"/>
        <v>0</v>
      </c>
      <c r="AM43" s="283">
        <f>IF(AC43&gt;0,Standing!$C$81*0.66,0)</f>
        <v>0</v>
      </c>
      <c r="AN43" s="284">
        <f>IF(AC43&gt;0,Standing!$C$81*0.45,0)</f>
        <v>0</v>
      </c>
      <c r="AO43" s="280">
        <f>IF(AC43&gt;0,Standing!$C$81*0.3,0)</f>
        <v>0</v>
      </c>
      <c r="AP43" s="281">
        <f>IF(AC43&gt;0,Standing!$C$81*0.9,0)</f>
        <v>0</v>
      </c>
      <c r="AQ43" s="282">
        <f>IF(AC43&gt;0,Standing!$C$85*0.9,0)</f>
        <v>0</v>
      </c>
      <c r="AR43" s="283">
        <f>IF(AC43&gt;0,Standing!$C$85*0.5,0)</f>
        <v>0</v>
      </c>
      <c r="AS43" s="284">
        <f>IF(AC43&gt;0,Standing!$C$85*0.66,0)</f>
        <v>0</v>
      </c>
      <c r="AT43" s="280">
        <f>IF(AC43&gt;0,Standing!$C$85*0.66,0)</f>
        <v>0</v>
      </c>
      <c r="AU43" s="281">
        <f>IF(AC43&gt;0,Standing!$C$75*0.25,0)</f>
        <v>0</v>
      </c>
      <c r="AV43" s="282">
        <f>IF(AC43&gt;0,Standing!$C$75*0.12,0)</f>
        <v>0</v>
      </c>
      <c r="AW43" s="283">
        <f>IF(AC43&gt;0,Standing!$C$26*0.4,0)</f>
        <v>0</v>
      </c>
      <c r="AX43" s="284">
        <f>IF(AC43&gt;0,Standing!$C$26*0.4,0)</f>
        <v>0</v>
      </c>
      <c r="AY43" s="280">
        <f>IF(AC43&gt;0,Standing!$C$26*0.2,0)</f>
        <v>0</v>
      </c>
      <c r="AZ43" s="281">
        <f>IF(AC43&gt;0,Standing!$C$26*0.33,0)</f>
        <v>0</v>
      </c>
      <c r="BA43" s="282">
        <f>IF(AC43&gt;0,Standing!$C$26*0.2,0)</f>
        <v>0</v>
      </c>
      <c r="BB43" s="283">
        <f>IF(AC43&gt;0,Standing!$C$26*0.2,0)</f>
        <v>0</v>
      </c>
      <c r="BC43" s="284">
        <f>IF(AC43&gt;0,Standing!$C$32*0.4,0)</f>
        <v>0</v>
      </c>
      <c r="BD43" s="280">
        <f>IF(AC43&gt;0,Standing!$C$32*0.5,0)</f>
        <v>0</v>
      </c>
      <c r="BE43" s="281">
        <f>IF(AC43&gt;0,Standing!$C$32*0.33,0)</f>
        <v>0</v>
      </c>
      <c r="BF43" s="282">
        <f>IF(AC43&gt;0,Standing!$C$32*0.33,0)</f>
        <v>0</v>
      </c>
      <c r="BG43" s="283">
        <f>IF(AC43&gt;0,Standing!$C$32*0.33,0)</f>
        <v>0</v>
      </c>
      <c r="BH43" s="284">
        <f>IF(AC43&gt;0,Standing!$C$32*0.4,0)</f>
        <v>0</v>
      </c>
      <c r="BI43" s="280">
        <f>IF(AC43&gt;0,Standing!$C$26*0.75,0)</f>
        <v>0</v>
      </c>
      <c r="BJ43" s="281">
        <f>IF(AC43&gt;0,Standing!$C$26*0.5,0)</f>
        <v>0</v>
      </c>
      <c r="BK43" s="282">
        <f>IF(AC43&gt;0,Standing!$C$26*0.5,0)</f>
        <v>0</v>
      </c>
      <c r="BL43" s="283">
        <f>IF(AC43&gt;0,Standing!$C$32*0.66,0)</f>
        <v>0</v>
      </c>
      <c r="BM43" s="281">
        <f>IF(AC43&gt;0,Standing!$C$32*0.85,0)</f>
        <v>0</v>
      </c>
      <c r="BN43" s="284">
        <f t="shared" si="9"/>
        <v>0</v>
      </c>
      <c r="BO43" s="282">
        <f>IF(AC43&gt;0,Standing!$C$32*0.45,0)</f>
        <v>0</v>
      </c>
      <c r="BP43" s="280">
        <f>IF(AC43&gt;0,Standing!$C$32*0.66,0)</f>
        <v>0</v>
      </c>
      <c r="BQ43" s="281">
        <f>IF(AC43&gt;0,Standing!$C$32*0.5,0)</f>
        <v>0</v>
      </c>
      <c r="BR43" s="282">
        <f>IF(AC43&gt;0,Standing!$C$32*0.4,0)</f>
        <v>0</v>
      </c>
      <c r="BS43" s="283">
        <f>IF(AC43&gt;0,Standing!$C$32*0.375,0)</f>
        <v>0</v>
      </c>
      <c r="BT43" s="284">
        <f>IF(AC43&gt;0,Standing!$C$32*0.3,0)</f>
        <v>0</v>
      </c>
      <c r="BU43" s="280">
        <f>IF(AC43&gt;0,Standing!$C$36*0.9,0)</f>
        <v>0</v>
      </c>
      <c r="BV43" s="281">
        <f>IF(AC43&gt;0,Standing!$C$36*0.45,0)</f>
        <v>0</v>
      </c>
      <c r="BW43" s="282">
        <f>IF(AC43&gt;0,Standing!$C$126*0.75,0)</f>
        <v>0</v>
      </c>
      <c r="BX43" s="283">
        <f>IF(AC43&gt;0,Standing!$C$126*0.66,0)</f>
        <v>0</v>
      </c>
      <c r="BY43" s="284">
        <f>IF(AC43&gt;0,Standing!$C$126*0.66,0)</f>
        <v>0</v>
      </c>
      <c r="BZ43" s="280">
        <f>IF(AC43&gt;0,Standing!$C$126*0.375,0)</f>
        <v>0</v>
      </c>
      <c r="CA43" s="281">
        <f>IF(AC43&gt;0,Standing!$C$132,0)</f>
        <v>0</v>
      </c>
      <c r="CB43" s="282">
        <f>IF(AC43&gt;0,Standing!$C$132*0.75,0)</f>
        <v>0</v>
      </c>
      <c r="CC43" s="283">
        <f>IF(AC43&gt;0,Standing!$C$132,0)</f>
        <v>0</v>
      </c>
      <c r="CD43" s="284">
        <f>IF(AC43&gt;0,Standing!$C$132*0.66,0)</f>
        <v>0</v>
      </c>
      <c r="CE43" s="280">
        <f>IF(AC43&gt;0,Standing!$C$132*0.5,0)</f>
        <v>0</v>
      </c>
      <c r="CF43" s="281">
        <f>IF(AC43&gt;0,Standing!$C$132*0.75,0)</f>
        <v>0</v>
      </c>
      <c r="CG43" s="282">
        <f>IF(AC43&gt;0,Standing!$C$132*0.66,0)</f>
        <v>0</v>
      </c>
      <c r="CH43" s="283">
        <f>IF(AC43&gt;0,Standing!$C$132*0.75,0)</f>
        <v>0</v>
      </c>
      <c r="CI43" s="284">
        <f>IF(AC43&gt;0,Standing!$C$132*0.66,0)</f>
        <v>0</v>
      </c>
      <c r="CJ43" s="280">
        <f>IF(AC43&gt;0,Standing!$C$132*0.66,0)</f>
        <v>0</v>
      </c>
      <c r="CK43" s="281">
        <f>IF(AC43&gt;0,Standing!$C$126*0.75,0)</f>
        <v>0</v>
      </c>
      <c r="CL43" s="282">
        <f>IF(AC43&gt;0,Standing!$C$126,0)</f>
        <v>0</v>
      </c>
      <c r="CM43" s="283">
        <f>IF(AC43&gt;0,Standing!$C$126,0)</f>
        <v>0</v>
      </c>
      <c r="CN43" s="284">
        <f>IF(AC43&gt;0,Standing!$C$126*0.66,0)</f>
        <v>0</v>
      </c>
      <c r="CO43" s="280">
        <f>IF(AC43&gt;0,Standing!$C$126*0.4,0)</f>
        <v>0</v>
      </c>
      <c r="CP43" s="281">
        <f>IF(AC43&gt;0,Standing!$C$26*0.33,0)</f>
        <v>0</v>
      </c>
      <c r="CQ43" s="282">
        <f>IF(AC43&gt;0,Standing!$C$26*0.2,0)</f>
        <v>0</v>
      </c>
      <c r="CR43" s="283">
        <f>IF(AC43&gt;0,Standing!$C$26*0.25,0)</f>
        <v>0</v>
      </c>
      <c r="CS43" s="285">
        <f>IF(AC43&gt;0,Standing!$C$26*0.2,0)</f>
        <v>0</v>
      </c>
      <c r="CT43" s="286"/>
      <c r="CU43" s="286" t="s">
        <v>29</v>
      </c>
    </row>
    <row r="44" ht="15.75" customHeight="1">
      <c r="A44" s="51"/>
      <c r="B44" s="296" t="s">
        <v>499</v>
      </c>
      <c r="C44" s="189">
        <f>BJ136</f>
        <v>3.830777559</v>
      </c>
      <c r="D44" s="218">
        <f t="shared" si="3"/>
        <v>1.219371517</v>
      </c>
      <c r="E44" s="190">
        <f t="shared" si="4"/>
        <v>97.30175</v>
      </c>
      <c r="F44" s="122">
        <f t="shared" si="5"/>
        <v>30.97203654</v>
      </c>
      <c r="G44" s="123">
        <f>C44/Introduction!$I$20</f>
        <v>0.03990393291</v>
      </c>
      <c r="H44" s="192">
        <f t="shared" si="6"/>
        <v>0.01270178664</v>
      </c>
      <c r="I44" s="124">
        <f>E44/Introduction!$I$20</f>
        <v>1.013559896</v>
      </c>
      <c r="J44" s="125">
        <f t="shared" si="7"/>
        <v>0.3226253806</v>
      </c>
      <c r="K44" s="51"/>
      <c r="L44" s="51"/>
      <c r="M44" s="51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286" t="s">
        <v>36</v>
      </c>
      <c r="AB44" s="286" t="s">
        <v>24</v>
      </c>
      <c r="AC44" s="287">
        <f>IF('Ship Data Imperial'!E45&gt;0,'Ship Data Imperial'!E45,AD44)</f>
        <v>0</v>
      </c>
      <c r="AD44" s="287">
        <f>'Ship Data Metric'!E45*0.03280839895</f>
        <v>0</v>
      </c>
      <c r="AE44" s="284">
        <f>IF(AC44&gt;0,Standing!$C$75*0.45,0)</f>
        <v>0</v>
      </c>
      <c r="AF44" s="280">
        <f>IF(AC44&gt;0,Standing!$C$75*0.25,0)</f>
        <v>0</v>
      </c>
      <c r="AG44" s="281">
        <f>IF(AC44&gt;0,Standing!$C$75*0.165,0)</f>
        <v>0</v>
      </c>
      <c r="AH44" s="282">
        <f>IF(AC44&gt;0,Standing!$C$75*0.5,0)</f>
        <v>0</v>
      </c>
      <c r="AI44" s="283">
        <f>IF(AC44&gt;0,Standing!$C$75*0.16,0)</f>
        <v>0</v>
      </c>
      <c r="AJ44" s="284">
        <f>IF(AC44&gt;0,Standing!$C$75*0.2,0)</f>
        <v>0</v>
      </c>
      <c r="AK44" s="281">
        <f>IF(AC44&gt;0,Standing!$C$81*0.66,0)</f>
        <v>0</v>
      </c>
      <c r="AL44" s="282">
        <f t="shared" si="8"/>
        <v>0</v>
      </c>
      <c r="AM44" s="283">
        <f>IF(AC44&gt;0,Standing!$C$81*0.5,0)</f>
        <v>0</v>
      </c>
      <c r="AN44" s="284">
        <f>IF(AC44&gt;0,Standing!$C$81*0.45,0)</f>
        <v>0</v>
      </c>
      <c r="AO44" s="280">
        <f>IF(AC44&gt;0,Standing!$C$81*0.3,0)</f>
        <v>0</v>
      </c>
      <c r="AP44" s="281">
        <f>IF(AC44&gt;0,Standing!$C$81,0)</f>
        <v>0</v>
      </c>
      <c r="AQ44" s="282">
        <f>IF(AC44&gt;0,Standing!$C$85*0.9,0)</f>
        <v>0</v>
      </c>
      <c r="AR44" s="283">
        <f>IF(AC44&gt;0,Standing!$C$85*0.5,0)</f>
        <v>0</v>
      </c>
      <c r="AS44" s="284">
        <f>IF(AC44&gt;0,Standing!$C$85*0.66,0)</f>
        <v>0</v>
      </c>
      <c r="AT44" s="280">
        <f>IF(AC44&gt;0,Standing!$C$85*0.66,0)</f>
        <v>0</v>
      </c>
      <c r="AU44" s="281">
        <f>IF(AC44&gt;0,Standing!$C$75*0.2,0)</f>
        <v>0</v>
      </c>
      <c r="AV44" s="282">
        <f>IF(AC44&gt;0,Standing!$C$75*0.12,0)</f>
        <v>0</v>
      </c>
      <c r="AW44" s="283">
        <f>IF(AC44&gt;0,Standing!$C$26*0.4,0)</f>
        <v>0</v>
      </c>
      <c r="AX44" s="284">
        <f>IF(AC44&gt;0,Standing!$C$26*0.4,0)</f>
        <v>0</v>
      </c>
      <c r="AY44" s="280">
        <f>IF(AC44&gt;0,Standing!$C$26*0.2,0)</f>
        <v>0</v>
      </c>
      <c r="AZ44" s="281">
        <f>IF(AC44&gt;0,Standing!$C$26*0.33,0)</f>
        <v>0</v>
      </c>
      <c r="BA44" s="282">
        <f>IF(AC44&gt;0,Standing!$C$26*0.2,0)</f>
        <v>0</v>
      </c>
      <c r="BB44" s="283">
        <f>IF(AC44&gt;0,Standing!$C$26*0.2,0)</f>
        <v>0</v>
      </c>
      <c r="BC44" s="284">
        <f>IF(AC44&gt;0,Standing!$C$32*0.4,0)</f>
        <v>0</v>
      </c>
      <c r="BD44" s="280">
        <f>IF(AC44&gt;0,Standing!$C$32*0.5,0)</f>
        <v>0</v>
      </c>
      <c r="BE44" s="281">
        <f>IF(AC44&gt;0,Standing!$C$32*0.33,0)</f>
        <v>0</v>
      </c>
      <c r="BF44" s="282">
        <f>IF(AC44&gt;0,Standing!$C$32*0.33,0)</f>
        <v>0</v>
      </c>
      <c r="BG44" s="283">
        <f>IF(AC44&gt;0,Standing!$C$32*0.33,0)</f>
        <v>0</v>
      </c>
      <c r="BH44" s="284">
        <f>IF(AC44&gt;0,Standing!$C$32*0.33,0)</f>
        <v>0</v>
      </c>
      <c r="BI44" s="280">
        <f>IF(AC44&gt;0,Standing!$C$26*0.5,0)</f>
        <v>0</v>
      </c>
      <c r="BJ44" s="281">
        <f>IF(AC44&gt;0,Standing!$C$26*0.5,0)</f>
        <v>0</v>
      </c>
      <c r="BK44" s="282">
        <f>IF(AC44&gt;0,Standing!$C$26*0.5,0)</f>
        <v>0</v>
      </c>
      <c r="BL44" s="283">
        <f>IF(AC44&gt;0,Standing!$C$32*0.66,0)</f>
        <v>0</v>
      </c>
      <c r="BM44" s="281">
        <f>IF(AC44&gt;0,Standing!$C$32*0.9,0)</f>
        <v>0</v>
      </c>
      <c r="BN44" s="284">
        <f t="shared" si="9"/>
        <v>0</v>
      </c>
      <c r="BO44" s="282">
        <f>IF(AC44&gt;0,Standing!$C$32*0.5,0)</f>
        <v>0</v>
      </c>
      <c r="BP44" s="280">
        <f>IF(AC44&gt;0,Standing!$C$32*0.5,0)</f>
        <v>0</v>
      </c>
      <c r="BQ44" s="281">
        <f>IF(AC44&gt;0,Standing!$C$32*0.5,0)</f>
        <v>0</v>
      </c>
      <c r="BR44" s="282">
        <f>IF(AC44&gt;0,Standing!$C$32*0.4,0)</f>
        <v>0</v>
      </c>
      <c r="BS44" s="283">
        <f>IF(AC44&gt;0,Standing!$C$32*0.33,0)</f>
        <v>0</v>
      </c>
      <c r="BT44" s="284">
        <f>IF(AC44&gt;0,Standing!$C$32*0.3,0)</f>
        <v>0</v>
      </c>
      <c r="BU44" s="280">
        <f>IF(AC44&gt;0,Standing!$C$36*0.9,0)</f>
        <v>0</v>
      </c>
      <c r="BV44" s="281">
        <f>IF(AC44&gt;0,Standing!$C$36*0.45,0)</f>
        <v>0</v>
      </c>
      <c r="BW44" s="282">
        <f>IF(AC44&gt;0,Standing!$C$126*0.75,0)</f>
        <v>0</v>
      </c>
      <c r="BX44" s="283">
        <f>IF(AC44&gt;0,Standing!$C$126*0.66,0)</f>
        <v>0</v>
      </c>
      <c r="BY44" s="284">
        <f>IF(AC44&gt;0,Standing!$C$126*0.66,0)</f>
        <v>0</v>
      </c>
      <c r="BZ44" s="280">
        <f>IF(AC44&gt;0,Standing!$C$126*0.375,0)</f>
        <v>0</v>
      </c>
      <c r="CA44" s="281">
        <f>IF(AC44&gt;0,Standing!$C$132,0)</f>
        <v>0</v>
      </c>
      <c r="CB44" s="282">
        <f>IF(AC44&gt;0,Standing!$C$132*0.75,0)</f>
        <v>0</v>
      </c>
      <c r="CC44" s="283">
        <f>IF(AC44&gt;0,Standing!$C$132,0)</f>
        <v>0</v>
      </c>
      <c r="CD44" s="284">
        <f>IF(AC44&gt;0,Standing!$C$132*0.66,0)</f>
        <v>0</v>
      </c>
      <c r="CE44" s="280">
        <f>IF(AC44&gt;0,Standing!$C$132*0.4,0)</f>
        <v>0</v>
      </c>
      <c r="CF44" s="281">
        <f>IF(AC44&gt;0,Standing!$C$132*0.75,0)</f>
        <v>0</v>
      </c>
      <c r="CG44" s="282">
        <f>IF(AC44&gt;0,Standing!$C$132*0.66,0)</f>
        <v>0</v>
      </c>
      <c r="CH44" s="283">
        <f>IF(AC44&gt;0,Standing!$C$132*0.75,0)</f>
        <v>0</v>
      </c>
      <c r="CI44" s="284">
        <f>IF(AC44&gt;0,Standing!$C$132*0.66,0)</f>
        <v>0</v>
      </c>
      <c r="CJ44" s="280">
        <f>IF(AC44&gt;0,Standing!$C$132*0.66,0)</f>
        <v>0</v>
      </c>
      <c r="CK44" s="281">
        <f>IF(AC44&gt;0,Standing!$C$126*0.75,0)</f>
        <v>0</v>
      </c>
      <c r="CL44" s="282">
        <f>IF(AC44&gt;0,Standing!$C$126,0)</f>
        <v>0</v>
      </c>
      <c r="CM44" s="283">
        <f>IF(AC44&gt;0,Standing!$C$126,0)</f>
        <v>0</v>
      </c>
      <c r="CN44" s="284">
        <f>IF(AC44&gt;0,Standing!$C$126*0.66,0)</f>
        <v>0</v>
      </c>
      <c r="CO44" s="280">
        <f>IF(AC44&gt;0,Standing!$C$126*0.4,0)</f>
        <v>0</v>
      </c>
      <c r="CP44" s="281">
        <f>IF(AC44&gt;0,Standing!$C$26*0.25,0)</f>
        <v>0</v>
      </c>
      <c r="CQ44" s="282">
        <f>IF(AC44&gt;0,Standing!$C$26*0.165,0)</f>
        <v>0</v>
      </c>
      <c r="CR44" s="283">
        <f>IF(AC44&gt;0,Standing!$C$26*0.2,0)</f>
        <v>0</v>
      </c>
      <c r="CS44" s="285">
        <f>IF(AC44&gt;0,Standing!$C$26*0.16,0)</f>
        <v>0</v>
      </c>
      <c r="CT44" s="286" t="s">
        <v>36</v>
      </c>
      <c r="CU44" s="286" t="s">
        <v>24</v>
      </c>
    </row>
    <row r="45" ht="15.75" customHeight="1">
      <c r="A45" s="51"/>
      <c r="B45" s="296" t="s">
        <v>500</v>
      </c>
      <c r="C45" s="189">
        <f>Standing!$C$26*0.25</f>
        <v>1.473375984</v>
      </c>
      <c r="D45" s="218">
        <f t="shared" si="3"/>
        <v>0.4689890452</v>
      </c>
      <c r="E45" s="190">
        <f t="shared" si="4"/>
        <v>37.42375</v>
      </c>
      <c r="F45" s="122">
        <f t="shared" si="5"/>
        <v>11.91232175</v>
      </c>
      <c r="G45" s="123">
        <f>C45/Introduction!$I$20</f>
        <v>0.0153476665</v>
      </c>
      <c r="H45" s="192">
        <f t="shared" si="6"/>
        <v>0.004885302554</v>
      </c>
      <c r="I45" s="124">
        <f>E45/Introduction!$I$20</f>
        <v>0.3898307292</v>
      </c>
      <c r="J45" s="125">
        <f t="shared" si="7"/>
        <v>0.1240866849</v>
      </c>
      <c r="K45" s="51"/>
      <c r="L45" s="51"/>
      <c r="M45" s="51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286"/>
      <c r="AB45" s="286" t="s">
        <v>25</v>
      </c>
      <c r="AC45" s="287">
        <f>IF('Ship Data Imperial'!E46&gt;0,'Ship Data Imperial'!E46,AD45)</f>
        <v>0</v>
      </c>
      <c r="AD45" s="287">
        <f>'Ship Data Metric'!E46*0.03280839895</f>
        <v>0</v>
      </c>
      <c r="AE45" s="284">
        <f>IF(AC45&gt;0,Standing!$C$75*0.45,0)</f>
        <v>0</v>
      </c>
      <c r="AF45" s="280">
        <f>IF(AC45&gt;0,Standing!$C$75*0.25,0)</f>
        <v>0</v>
      </c>
      <c r="AG45" s="281">
        <f>IF(AC45&gt;0,Standing!$C$75*0.165,0)</f>
        <v>0</v>
      </c>
      <c r="AH45" s="282">
        <f>IF(AC45&gt;0,Standing!$C$75*0.5,0)</f>
        <v>0</v>
      </c>
      <c r="AI45" s="283">
        <f>IF(AC45&gt;0,Standing!$C$75*0.16,0)</f>
        <v>0</v>
      </c>
      <c r="AJ45" s="284">
        <f>IF(AC45&gt;0,Standing!$C$75*0.2,0)</f>
        <v>0</v>
      </c>
      <c r="AK45" s="281">
        <f>IF(AC45&gt;0,Standing!$C$81*0.66,0)</f>
        <v>0</v>
      </c>
      <c r="AL45" s="282">
        <f t="shared" si="8"/>
        <v>0</v>
      </c>
      <c r="AM45" s="283">
        <f>IF(AC45&gt;0,Standing!$C$81*0.5,0)</f>
        <v>0</v>
      </c>
      <c r="AN45" s="284">
        <f>IF(AC45&gt;0,Standing!$C$81*0.45,0)</f>
        <v>0</v>
      </c>
      <c r="AO45" s="280">
        <f>IF(AC45&gt;0,Standing!$C$81*0.3,0)</f>
        <v>0</v>
      </c>
      <c r="AP45" s="281">
        <f>IF(AC45&gt;0,Standing!$C$81,0)</f>
        <v>0</v>
      </c>
      <c r="AQ45" s="282">
        <f>IF(AC45&gt;0,Standing!$C$85*0.9,0)</f>
        <v>0</v>
      </c>
      <c r="AR45" s="283">
        <f>IF(AC45&gt;0,Standing!$C$85*0.5,0)</f>
        <v>0</v>
      </c>
      <c r="AS45" s="284">
        <f>IF(AC45&gt;0,Standing!$C$85*0.66,0)</f>
        <v>0</v>
      </c>
      <c r="AT45" s="280">
        <f>IF(AC45&gt;0,Standing!$C$85*0.66,0)</f>
        <v>0</v>
      </c>
      <c r="AU45" s="281">
        <f>IF(AC45&gt;0,Standing!$C$75*0.2,0)</f>
        <v>0</v>
      </c>
      <c r="AV45" s="282">
        <f>IF(AC45&gt;0,Standing!$C$75*0.12,0)</f>
        <v>0</v>
      </c>
      <c r="AW45" s="283">
        <f>IF(AC45&gt;0,Standing!$C$26*0.4,0)</f>
        <v>0</v>
      </c>
      <c r="AX45" s="284">
        <f>IF(AC45&gt;0,Standing!$C$26*0.4,0)</f>
        <v>0</v>
      </c>
      <c r="AY45" s="280">
        <f>IF(AC45&gt;0,Standing!$C$26*0.2,0)</f>
        <v>0</v>
      </c>
      <c r="AZ45" s="281">
        <f>IF(AC45&gt;0,Standing!$C$26*0.33,0)</f>
        <v>0</v>
      </c>
      <c r="BA45" s="282">
        <f>IF(AC45&gt;0,Standing!$C$26*0.2,0)</f>
        <v>0</v>
      </c>
      <c r="BB45" s="283">
        <f>IF(AC45&gt;0,Standing!$C$26*0.2,0)</f>
        <v>0</v>
      </c>
      <c r="BC45" s="284">
        <f>IF(AC45&gt;0,Standing!$C$32*0.4,0)</f>
        <v>0</v>
      </c>
      <c r="BD45" s="280">
        <f>IF(AC45&gt;0,Standing!$C$32*0.5,0)</f>
        <v>0</v>
      </c>
      <c r="BE45" s="281">
        <f>IF(AC45&gt;0,Standing!$C$32*0.33,0)</f>
        <v>0</v>
      </c>
      <c r="BF45" s="282">
        <f>IF(AC45&gt;0,Standing!$C$32*0.33,0)</f>
        <v>0</v>
      </c>
      <c r="BG45" s="283">
        <f>IF(AC45&gt;0,Standing!$C$32*0.33,0)</f>
        <v>0</v>
      </c>
      <c r="BH45" s="284">
        <f>IF(AC45&gt;0,Standing!$C$32*0.33,0)</f>
        <v>0</v>
      </c>
      <c r="BI45" s="280">
        <f>IF(AC45&gt;0,Standing!$C$26*0.5,0)</f>
        <v>0</v>
      </c>
      <c r="BJ45" s="281">
        <f>IF(AC45&gt;0,Standing!$C$26*0.5,0)</f>
        <v>0</v>
      </c>
      <c r="BK45" s="282">
        <f>IF(AC45&gt;0,Standing!$C$26*0.5,0)</f>
        <v>0</v>
      </c>
      <c r="BL45" s="283">
        <f>IF(AC45&gt;0,Standing!$C$32*0.66,0)</f>
        <v>0</v>
      </c>
      <c r="BM45" s="281">
        <f>IF(AC45&gt;0,Standing!$C$32*0.9,0)</f>
        <v>0</v>
      </c>
      <c r="BN45" s="284">
        <f t="shared" si="9"/>
        <v>0</v>
      </c>
      <c r="BO45" s="282">
        <f>IF(AC45&gt;0,Standing!$C$32*0.5,0)</f>
        <v>0</v>
      </c>
      <c r="BP45" s="280">
        <f>IF(AC45&gt;0,Standing!$C$32*0.5,0)</f>
        <v>0</v>
      </c>
      <c r="BQ45" s="281">
        <f>IF(AC45&gt;0,Standing!$C$32*0.5,0)</f>
        <v>0</v>
      </c>
      <c r="BR45" s="282">
        <f>IF(AC45&gt;0,Standing!$C$32*0.4,0)</f>
        <v>0</v>
      </c>
      <c r="BS45" s="283">
        <f>IF(AC45&gt;0,Standing!$C$32*0.33,0)</f>
        <v>0</v>
      </c>
      <c r="BT45" s="284">
        <f>IF(AC45&gt;0,Standing!$C$32*0.3,0)</f>
        <v>0</v>
      </c>
      <c r="BU45" s="280">
        <f>IF(AC45&gt;0,Standing!$C$36*0.9,0)</f>
        <v>0</v>
      </c>
      <c r="BV45" s="281">
        <f>IF(AC45&gt;0,Standing!$C$36*0.45,0)</f>
        <v>0</v>
      </c>
      <c r="BW45" s="282">
        <f>IF(AC45&gt;0,Standing!$C$126*0.75,0)</f>
        <v>0</v>
      </c>
      <c r="BX45" s="283">
        <f>IF(AC45&gt;0,Standing!$C$126*0.66,0)</f>
        <v>0</v>
      </c>
      <c r="BY45" s="284">
        <f>IF(AC45&gt;0,Standing!$C$126*0.66,0)</f>
        <v>0</v>
      </c>
      <c r="BZ45" s="280">
        <f>IF(AC45&gt;0,Standing!$C$126*0.375,0)</f>
        <v>0</v>
      </c>
      <c r="CA45" s="281">
        <f>IF(AC45&gt;0,Standing!$C$132,0)</f>
        <v>0</v>
      </c>
      <c r="CB45" s="282">
        <f>IF(AC45&gt;0,Standing!$C$132*0.75,0)</f>
        <v>0</v>
      </c>
      <c r="CC45" s="283">
        <f>IF(AC45&gt;0,Standing!$C$132,0)</f>
        <v>0</v>
      </c>
      <c r="CD45" s="284">
        <f>IF(AC45&gt;0,Standing!$C$132*0.66,0)</f>
        <v>0</v>
      </c>
      <c r="CE45" s="280">
        <f>IF(AC45&gt;0,Standing!$C$132*0.4,0)</f>
        <v>0</v>
      </c>
      <c r="CF45" s="281">
        <f>IF(AC45&gt;0,Standing!$C$132*0.75,0)</f>
        <v>0</v>
      </c>
      <c r="CG45" s="282">
        <f>IF(AC45&gt;0,Standing!$C$132*0.66,0)</f>
        <v>0</v>
      </c>
      <c r="CH45" s="283">
        <f>IF(AC45&gt;0,Standing!$C$132*0.75,0)</f>
        <v>0</v>
      </c>
      <c r="CI45" s="284">
        <f>IF(AC45&gt;0,Standing!$C$132*0.66,0)</f>
        <v>0</v>
      </c>
      <c r="CJ45" s="280">
        <f>IF(AC45&gt;0,Standing!$C$132*0.66,0)</f>
        <v>0</v>
      </c>
      <c r="CK45" s="281">
        <f>IF(AC45&gt;0,Standing!$C$126*0.75,0)</f>
        <v>0</v>
      </c>
      <c r="CL45" s="282">
        <f>IF(AC45&gt;0,Standing!$C$126,0)</f>
        <v>0</v>
      </c>
      <c r="CM45" s="283">
        <f>IF(AC45&gt;0,Standing!$C$126,0)</f>
        <v>0</v>
      </c>
      <c r="CN45" s="284">
        <f>IF(AC45&gt;0,Standing!$C$126*0.66,0)</f>
        <v>0</v>
      </c>
      <c r="CO45" s="280">
        <f>IF(AC45&gt;0,Standing!$C$126*0.4,0)</f>
        <v>0</v>
      </c>
      <c r="CP45" s="281">
        <f>IF(AC45&gt;0,Standing!$C$26*0.25,0)</f>
        <v>0</v>
      </c>
      <c r="CQ45" s="282">
        <f>IF(AC45&gt;0,Standing!$C$26*0.165,0)</f>
        <v>0</v>
      </c>
      <c r="CR45" s="283">
        <f>IF(AC45&gt;0,Standing!$C$26*0.2,0)</f>
        <v>0</v>
      </c>
      <c r="CS45" s="285">
        <f>IF(AC45&gt;0,Standing!$C$26*0.16,0)</f>
        <v>0</v>
      </c>
      <c r="CT45" s="286"/>
      <c r="CU45" s="286" t="s">
        <v>25</v>
      </c>
    </row>
    <row r="46" ht="15.75" customHeight="1">
      <c r="A46" s="51"/>
      <c r="B46" s="296" t="s">
        <v>501</v>
      </c>
      <c r="C46" s="189">
        <f>Standing!$C$26*0.25</f>
        <v>1.473375984</v>
      </c>
      <c r="D46" s="218">
        <f t="shared" si="3"/>
        <v>0.4689890452</v>
      </c>
      <c r="E46" s="190">
        <f t="shared" si="4"/>
        <v>37.42375</v>
      </c>
      <c r="F46" s="122">
        <f t="shared" si="5"/>
        <v>11.91232175</v>
      </c>
      <c r="G46" s="123">
        <f>C46/Introduction!$I$20</f>
        <v>0.0153476665</v>
      </c>
      <c r="H46" s="192">
        <f t="shared" si="6"/>
        <v>0.004885302554</v>
      </c>
      <c r="I46" s="124">
        <f>E46/Introduction!$I$20</f>
        <v>0.3898307292</v>
      </c>
      <c r="J46" s="125">
        <f t="shared" si="7"/>
        <v>0.1240866849</v>
      </c>
      <c r="K46" s="51"/>
      <c r="L46" s="51"/>
      <c r="M46" s="51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286"/>
      <c r="AB46" s="286" t="s">
        <v>26</v>
      </c>
      <c r="AC46" s="287">
        <f>IF('Ship Data Imperial'!E47&gt;0,'Ship Data Imperial'!E47,AD46)</f>
        <v>0</v>
      </c>
      <c r="AD46" s="287">
        <f>'Ship Data Metric'!E47*0.03280839895</f>
        <v>0</v>
      </c>
      <c r="AE46" s="284">
        <f>IF(AC46&gt;0,Standing!$C$75*0.45,0)</f>
        <v>0</v>
      </c>
      <c r="AF46" s="280">
        <f>IF(AC46&gt;0,Standing!$C$75*0.25,0)</f>
        <v>0</v>
      </c>
      <c r="AG46" s="281">
        <f>IF(AC46&gt;0,Standing!$C$75*0.2,0)</f>
        <v>0</v>
      </c>
      <c r="AH46" s="282">
        <f>IF(AC46&gt;0,Standing!$C$75*0.5,0)</f>
        <v>0</v>
      </c>
      <c r="AI46" s="283">
        <f>IF(AC46&gt;0,Standing!$C$75*0.2,0)</f>
        <v>0</v>
      </c>
      <c r="AJ46" s="284">
        <f>IF(AC46&gt;0,Standing!$C$75*0.25,0)</f>
        <v>0</v>
      </c>
      <c r="AK46" s="281">
        <f>IF(AC46&gt;0,Standing!$C$81*0.8,0)</f>
        <v>0</v>
      </c>
      <c r="AL46" s="282">
        <f t="shared" si="8"/>
        <v>0</v>
      </c>
      <c r="AM46" s="283">
        <f>IF(AC46&gt;0,Standing!$C$81*0.66,0)</f>
        <v>0</v>
      </c>
      <c r="AN46" s="284">
        <f>IF(AC46&gt;0,Standing!$C$81*0.45,0)</f>
        <v>0</v>
      </c>
      <c r="AO46" s="280">
        <f>IF(AC46&gt;0,Standing!$C$81*0.3,0)</f>
        <v>0</v>
      </c>
      <c r="AP46" s="281">
        <f>IF(AC46&gt;0,Standing!$C$81*0.9,0)</f>
        <v>0</v>
      </c>
      <c r="AQ46" s="282">
        <f>IF(AC46&gt;0,Standing!$C$85*0.9,0)</f>
        <v>0</v>
      </c>
      <c r="AR46" s="283">
        <f>IF(AC46&gt;0,Standing!$C$85*0.5,0)</f>
        <v>0</v>
      </c>
      <c r="AS46" s="284">
        <f>IF(AC46&gt;0,Standing!$C$85*0.66,0)</f>
        <v>0</v>
      </c>
      <c r="AT46" s="280">
        <f>IF(AC46&gt;0,Standing!$C$85*0.66,0)</f>
        <v>0</v>
      </c>
      <c r="AU46" s="281">
        <f>IF(AC46&gt;0,Standing!$C$75*0.2,0)</f>
        <v>0</v>
      </c>
      <c r="AV46" s="282">
        <f>IF(AC46&gt;0,Standing!$C$75*0.12,0)</f>
        <v>0</v>
      </c>
      <c r="AW46" s="283">
        <f>IF(AC46&gt;0,Standing!$C$26*0.4,0)</f>
        <v>0</v>
      </c>
      <c r="AX46" s="284">
        <f>IF(AC46&gt;0,Standing!$C$26*0.4,0)</f>
        <v>0</v>
      </c>
      <c r="AY46" s="280">
        <f>IF(AC46&gt;0,Standing!$C$26*0.2,0)</f>
        <v>0</v>
      </c>
      <c r="AZ46" s="281">
        <f>IF(AC46&gt;0,Standing!$C$26*0.33,0)</f>
        <v>0</v>
      </c>
      <c r="BA46" s="282">
        <f>IF(AC46&gt;0,Standing!$C$26*0.2,0)</f>
        <v>0</v>
      </c>
      <c r="BB46" s="283">
        <f>IF(AC46&gt;0,Standing!$C$26*0.2,0)</f>
        <v>0</v>
      </c>
      <c r="BC46" s="284">
        <f>IF(AC46&gt;0,Standing!$C$32*0.4,0)</f>
        <v>0</v>
      </c>
      <c r="BD46" s="280">
        <f>IF(AC46&gt;0,Standing!$C$32*0.5,0)</f>
        <v>0</v>
      </c>
      <c r="BE46" s="281">
        <f>IF(AC46&gt;0,Standing!$C$32*0.33,0)</f>
        <v>0</v>
      </c>
      <c r="BF46" s="282">
        <f>IF(AC46&gt;0,Standing!$C$32*0.33,0)</f>
        <v>0</v>
      </c>
      <c r="BG46" s="283">
        <f>IF(AC46&gt;0,Standing!$C$32*0.33,0)</f>
        <v>0</v>
      </c>
      <c r="BH46" s="284">
        <f>IF(AC46&gt;0,Standing!$C$32*0.4,0)</f>
        <v>0</v>
      </c>
      <c r="BI46" s="280">
        <f>IF(AC46&gt;0,Standing!$C$26*0.5,0)</f>
        <v>0</v>
      </c>
      <c r="BJ46" s="281">
        <f>IF(AC46&gt;0,Standing!$C$26*0.5,0)</f>
        <v>0</v>
      </c>
      <c r="BK46" s="282">
        <f>IF(AC46&gt;0,Standing!$C$26*0.5,0)</f>
        <v>0</v>
      </c>
      <c r="BL46" s="283">
        <f>IF(AC46&gt;0,Standing!$C$32*0.66,0)</f>
        <v>0</v>
      </c>
      <c r="BM46" s="281">
        <f>IF(AC46&gt;0,Standing!$C$32*0.85,0)</f>
        <v>0</v>
      </c>
      <c r="BN46" s="284">
        <f t="shared" si="9"/>
        <v>0</v>
      </c>
      <c r="BO46" s="282">
        <f>IF(AC46&gt;0,Standing!$C$32*0.5,0)</f>
        <v>0</v>
      </c>
      <c r="BP46" s="280">
        <f>IF(AC46&gt;0,Standing!$C$32*0.5,0)</f>
        <v>0</v>
      </c>
      <c r="BQ46" s="281">
        <f>IF(AC46&gt;0,Standing!$C$32*0.5,0)</f>
        <v>0</v>
      </c>
      <c r="BR46" s="282">
        <f>IF(AC46&gt;0,Standing!$C$32*0.4,0)</f>
        <v>0</v>
      </c>
      <c r="BS46" s="283">
        <f>IF(AC46&gt;0,Standing!$C$32*0.33,0)</f>
        <v>0</v>
      </c>
      <c r="BT46" s="284">
        <f>IF(AC46&gt;0,Standing!$C$32*0.3,0)</f>
        <v>0</v>
      </c>
      <c r="BU46" s="280">
        <f>IF(AC46&gt;0,Standing!$C$36*0.9,0)</f>
        <v>0</v>
      </c>
      <c r="BV46" s="281">
        <f>IF(AC46&gt;0,Standing!$C$36*0.45,0)</f>
        <v>0</v>
      </c>
      <c r="BW46" s="282">
        <f>IF(AC46&gt;0,Standing!$C$126*0.75,0)</f>
        <v>0</v>
      </c>
      <c r="BX46" s="283">
        <f>IF(AC46&gt;0,Standing!$C$126*0.66,0)</f>
        <v>0</v>
      </c>
      <c r="BY46" s="284">
        <f>IF(AC46&gt;0,Standing!$C$126*0.66,0)</f>
        <v>0</v>
      </c>
      <c r="BZ46" s="280">
        <f>IF(AC46&gt;0,Standing!$C$126*0.375,0)</f>
        <v>0</v>
      </c>
      <c r="CA46" s="281">
        <f>IF(AC46&gt;0,Standing!$C$132,0)</f>
        <v>0</v>
      </c>
      <c r="CB46" s="282">
        <f>IF(AC46&gt;0,Standing!$C$132*0.75,0)</f>
        <v>0</v>
      </c>
      <c r="CC46" s="283">
        <f>IF(AC46&gt;0,Standing!$C$132,0)</f>
        <v>0</v>
      </c>
      <c r="CD46" s="284">
        <f>IF(AC46&gt;0,Standing!$C$132*0.66,0)</f>
        <v>0</v>
      </c>
      <c r="CE46" s="280">
        <f>IF(AC46&gt;0,Standing!$C$132*0.4,0)</f>
        <v>0</v>
      </c>
      <c r="CF46" s="281">
        <f>IF(AC46&gt;0,Standing!$C$132*0.75,0)</f>
        <v>0</v>
      </c>
      <c r="CG46" s="282">
        <f>IF(AC46&gt;0,Standing!$C$132*0.66,0)</f>
        <v>0</v>
      </c>
      <c r="CH46" s="283">
        <f>IF(AC46&gt;0,Standing!$C$132*0.75,0)</f>
        <v>0</v>
      </c>
      <c r="CI46" s="284">
        <f>IF(AC46&gt;0,Standing!$C$132*0.66,0)</f>
        <v>0</v>
      </c>
      <c r="CJ46" s="280">
        <f>IF(AC46&gt;0,Standing!$C$132*0.66,0)</f>
        <v>0</v>
      </c>
      <c r="CK46" s="281">
        <f>IF(AC46&gt;0,Standing!$C$126*0.75,0)</f>
        <v>0</v>
      </c>
      <c r="CL46" s="282">
        <f>IF(AC46&gt;0,Standing!$C$126,0)</f>
        <v>0</v>
      </c>
      <c r="CM46" s="283">
        <f>IF(AC46&gt;0,Standing!$C$126,0)</f>
        <v>0</v>
      </c>
      <c r="CN46" s="284">
        <f>IF(AC46&gt;0,Standing!$C$126*0.66,0)</f>
        <v>0</v>
      </c>
      <c r="CO46" s="280">
        <f>IF(AC46&gt;0,Standing!$C$126*0.4,0)</f>
        <v>0</v>
      </c>
      <c r="CP46" s="281">
        <f>IF(AC46&gt;0,Standing!$C$26*0.25,0)</f>
        <v>0</v>
      </c>
      <c r="CQ46" s="282">
        <f>IF(AC46&gt;0,Standing!$C$26*0.2,0)</f>
        <v>0</v>
      </c>
      <c r="CR46" s="283">
        <f>IF(AC46&gt;0,Standing!$C$26*0.25,0)</f>
        <v>0</v>
      </c>
      <c r="CS46" s="285">
        <f>IF(AC46&gt;0,Standing!$C$26*0.2,0)</f>
        <v>0</v>
      </c>
      <c r="CT46" s="286"/>
      <c r="CU46" s="286" t="s">
        <v>26</v>
      </c>
    </row>
    <row r="47" ht="15.75" customHeight="1">
      <c r="A47" s="51"/>
      <c r="B47" s="296" t="s">
        <v>502</v>
      </c>
      <c r="C47" s="189">
        <f>Standing!$C$26*0.33</f>
        <v>1.944856299</v>
      </c>
      <c r="D47" s="218">
        <f t="shared" si="3"/>
        <v>0.6190655396</v>
      </c>
      <c r="E47" s="190">
        <f t="shared" si="4"/>
        <v>49.39935</v>
      </c>
      <c r="F47" s="122">
        <f t="shared" si="5"/>
        <v>15.72426471</v>
      </c>
      <c r="G47" s="123">
        <f>C47/Introduction!$I$20</f>
        <v>0.02025891978</v>
      </c>
      <c r="H47" s="192">
        <f t="shared" si="6"/>
        <v>0.006448599371</v>
      </c>
      <c r="I47" s="124">
        <f>E47/Introduction!$I$20</f>
        <v>0.5145765625</v>
      </c>
      <c r="J47" s="125">
        <f t="shared" si="7"/>
        <v>0.163794424</v>
      </c>
      <c r="K47" s="51"/>
      <c r="L47" s="51"/>
      <c r="M47" s="51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286"/>
      <c r="AB47" s="286" t="s">
        <v>27</v>
      </c>
      <c r="AC47" s="287">
        <f>IF('Ship Data Imperial'!E48&gt;0,'Ship Data Imperial'!E48,AD47)</f>
        <v>0</v>
      </c>
      <c r="AD47" s="287">
        <f>'Ship Data Metric'!E48*0.03280839895</f>
        <v>0</v>
      </c>
      <c r="AE47" s="284">
        <f>IF(AC47&gt;0,Standing!$C$75*0.45,0)</f>
        <v>0</v>
      </c>
      <c r="AF47" s="280">
        <f>IF(AC47&gt;0,Standing!$C$75*0.33,0)</f>
        <v>0</v>
      </c>
      <c r="AG47" s="281">
        <f>IF(AC47&gt;0,Standing!$C$75*0.2,0)</f>
        <v>0</v>
      </c>
      <c r="AH47" s="282">
        <f>IF(AC47&gt;0,Standing!$C$75*0.5,0)</f>
        <v>0</v>
      </c>
      <c r="AI47" s="283">
        <f>IF(AC47&gt;0,Standing!$C$75*0.2,0)</f>
        <v>0</v>
      </c>
      <c r="AJ47" s="284">
        <f>IF(AC47&gt;0,Standing!$C$75*0.25,0)</f>
        <v>0</v>
      </c>
      <c r="AK47" s="281">
        <f>IF(AC47&gt;0,Standing!$C$81*0.8,0)</f>
        <v>0</v>
      </c>
      <c r="AL47" s="282">
        <f t="shared" si="8"/>
        <v>0</v>
      </c>
      <c r="AM47" s="283">
        <f>IF(AC47&gt;0,Standing!$C$81*0.66,0)</f>
        <v>0</v>
      </c>
      <c r="AN47" s="284">
        <f>IF(AC47&gt;0,Standing!$C$81*0.45,0)</f>
        <v>0</v>
      </c>
      <c r="AO47" s="280">
        <f>IF(AC47&gt;0,Standing!$C$81*0.3,0)</f>
        <v>0</v>
      </c>
      <c r="AP47" s="281">
        <f>IF(AC47&gt;0,Standing!$C$81*0.9,0)</f>
        <v>0</v>
      </c>
      <c r="AQ47" s="282">
        <f>IF(AC47&gt;0,Standing!$C$85*0.9,0)</f>
        <v>0</v>
      </c>
      <c r="AR47" s="283">
        <f>IF(AC47&gt;0,Standing!$C$85*0.5,0)</f>
        <v>0</v>
      </c>
      <c r="AS47" s="284">
        <f>IF(AC47&gt;0,Standing!$C$85*0.66,0)</f>
        <v>0</v>
      </c>
      <c r="AT47" s="280">
        <f>IF(AC47&gt;0,Standing!$C$85*0.66,0)</f>
        <v>0</v>
      </c>
      <c r="AU47" s="281">
        <f>IF(AC47&gt;0,Standing!$C$75*0.25,0)</f>
        <v>0</v>
      </c>
      <c r="AV47" s="282">
        <f>IF(AC47&gt;0,Standing!$C$75*0.12,0)</f>
        <v>0</v>
      </c>
      <c r="AW47" s="283">
        <f>IF(AC47&gt;0,Standing!$C$26*0.4,0)</f>
        <v>0</v>
      </c>
      <c r="AX47" s="284">
        <f>IF(AC47&gt;0,Standing!$C$26*0.4,0)</f>
        <v>0</v>
      </c>
      <c r="AY47" s="280">
        <f>IF(AC47&gt;0,Standing!$C$26*0.2,0)</f>
        <v>0</v>
      </c>
      <c r="AZ47" s="281">
        <f>IF(AC47&gt;0,Standing!$C$26*0.33,0)</f>
        <v>0</v>
      </c>
      <c r="BA47" s="282">
        <f>IF(AC47&gt;0,Standing!$C$26*0.2,0)</f>
        <v>0</v>
      </c>
      <c r="BB47" s="283">
        <f>IF(AC47&gt;0,Standing!$C$26*0.2,0)</f>
        <v>0</v>
      </c>
      <c r="BC47" s="284">
        <f>IF(AC47&gt;0,Standing!$C$32*0.4,0)</f>
        <v>0</v>
      </c>
      <c r="BD47" s="280">
        <f>IF(AC47&gt;0,Standing!$C$32*0.5,0)</f>
        <v>0</v>
      </c>
      <c r="BE47" s="281">
        <f>IF(AC47&gt;0,Standing!$C$32*0.33,0)</f>
        <v>0</v>
      </c>
      <c r="BF47" s="282">
        <f>IF(AC47&gt;0,Standing!$C$32*0.33,0)</f>
        <v>0</v>
      </c>
      <c r="BG47" s="283">
        <f>IF(AC47&gt;0,Standing!$C$32*0.33,0)</f>
        <v>0</v>
      </c>
      <c r="BH47" s="284">
        <f>IF(AC47&gt;0,Standing!$C$32*0.4,0)</f>
        <v>0</v>
      </c>
      <c r="BI47" s="280">
        <f>IF(AC47&gt;0,Standing!$C$26*0.5,0)</f>
        <v>0</v>
      </c>
      <c r="BJ47" s="281">
        <f>IF(AC47&gt;0,Standing!$C$26*0.5,0)</f>
        <v>0</v>
      </c>
      <c r="BK47" s="282">
        <f>IF(AC47&gt;0,Standing!$C$26*0.5,0)</f>
        <v>0</v>
      </c>
      <c r="BL47" s="283">
        <f>IF(AC47&gt;0,Standing!$C$32*0.66,0)</f>
        <v>0</v>
      </c>
      <c r="BM47" s="281">
        <f>IF(AC47&gt;0,Standing!$C$32*0.85,0)</f>
        <v>0</v>
      </c>
      <c r="BN47" s="284">
        <f t="shared" si="9"/>
        <v>0</v>
      </c>
      <c r="BO47" s="282">
        <f>IF(AC47&gt;0,Standing!$C$32*0.45,0)</f>
        <v>0</v>
      </c>
      <c r="BP47" s="280">
        <f>IF(AC47&gt;0,Standing!$C$32*0.66,0)</f>
        <v>0</v>
      </c>
      <c r="BQ47" s="281">
        <f>IF(AC47&gt;0,Standing!$C$32*0.5,0)</f>
        <v>0</v>
      </c>
      <c r="BR47" s="282">
        <f>IF(AC47&gt;0,Standing!$C$32*0.4,0)</f>
        <v>0</v>
      </c>
      <c r="BS47" s="283">
        <f>IF(AC47&gt;0,Standing!$C$32*0.33,0)</f>
        <v>0</v>
      </c>
      <c r="BT47" s="284">
        <f>IF(AC47&gt;0,Standing!$C$32*0.3,0)</f>
        <v>0</v>
      </c>
      <c r="BU47" s="280">
        <f>IF(AC47&gt;0,Standing!$C$36*0.9,0)</f>
        <v>0</v>
      </c>
      <c r="BV47" s="281">
        <f>IF(AC47&gt;0,Standing!$C$36*0.45,0)</f>
        <v>0</v>
      </c>
      <c r="BW47" s="282">
        <f>IF(AC47&gt;0,Standing!$C$126*0.75,0)</f>
        <v>0</v>
      </c>
      <c r="BX47" s="283">
        <f>IF(AC47&gt;0,Standing!$C$126*0.66,0)</f>
        <v>0</v>
      </c>
      <c r="BY47" s="284">
        <f>IF(AC47&gt;0,Standing!$C$126*0.66,0)</f>
        <v>0</v>
      </c>
      <c r="BZ47" s="280">
        <f>IF(AC47&gt;0,Standing!$C$126*0.375,0)</f>
        <v>0</v>
      </c>
      <c r="CA47" s="281">
        <f>IF(AC47&gt;0,Standing!$C$132,0)</f>
        <v>0</v>
      </c>
      <c r="CB47" s="282">
        <f>IF(AC47&gt;0,Standing!$C$132*0.75,0)</f>
        <v>0</v>
      </c>
      <c r="CC47" s="283">
        <f>IF(AC47&gt;0,Standing!$C$132,0)</f>
        <v>0</v>
      </c>
      <c r="CD47" s="284">
        <f>IF(AC47&gt;0,Standing!$C$132*0.66,0)</f>
        <v>0</v>
      </c>
      <c r="CE47" s="280">
        <f>IF(AC47&gt;0,Standing!$C$132*0.5,0)</f>
        <v>0</v>
      </c>
      <c r="CF47" s="281">
        <f>IF(AC47&gt;0,Standing!$C$132*0.75,0)</f>
        <v>0</v>
      </c>
      <c r="CG47" s="282">
        <f>IF(AC47&gt;0,Standing!$C$132*0.66,0)</f>
        <v>0</v>
      </c>
      <c r="CH47" s="283">
        <f>IF(AC47&gt;0,Standing!$C$132*0.75,0)</f>
        <v>0</v>
      </c>
      <c r="CI47" s="284">
        <f>IF(AC47&gt;0,Standing!$C$132*0.66,0)</f>
        <v>0</v>
      </c>
      <c r="CJ47" s="280">
        <f>IF(AC47&gt;0,Standing!$C$132*0.66,0)</f>
        <v>0</v>
      </c>
      <c r="CK47" s="281">
        <f>IF(AC47&gt;0,Standing!$C$126*0.75,0)</f>
        <v>0</v>
      </c>
      <c r="CL47" s="282">
        <f>IF(AC47&gt;0,Standing!$C$126,0)</f>
        <v>0</v>
      </c>
      <c r="CM47" s="283">
        <f>IF(AC47&gt;0,Standing!$C$126,0)</f>
        <v>0</v>
      </c>
      <c r="CN47" s="284">
        <f>IF(AC47&gt;0,Standing!$C$126*0.66,0)</f>
        <v>0</v>
      </c>
      <c r="CO47" s="280">
        <f>IF(AC47&gt;0,Standing!$C$126*0.4,0)</f>
        <v>0</v>
      </c>
      <c r="CP47" s="281">
        <f>IF(AC47&gt;0,Standing!$C$26*0.33,0)</f>
        <v>0</v>
      </c>
      <c r="CQ47" s="282">
        <f>IF(AC47&gt;0,Standing!$C$26*0.2,0)</f>
        <v>0</v>
      </c>
      <c r="CR47" s="283">
        <f>IF(AC47&gt;0,Standing!$C$26*0.25,0)</f>
        <v>0</v>
      </c>
      <c r="CS47" s="285">
        <f>IF(AC47&gt;0,Standing!$C$26*0.2,0)</f>
        <v>0</v>
      </c>
      <c r="CT47" s="286"/>
      <c r="CU47" s="286" t="s">
        <v>27</v>
      </c>
    </row>
    <row r="48" ht="15.75" customHeight="1">
      <c r="A48" s="51"/>
      <c r="B48" s="296" t="s">
        <v>503</v>
      </c>
      <c r="C48" s="189">
        <f>Standing!$C$26*0.5</f>
        <v>2.946751968</v>
      </c>
      <c r="D48" s="218">
        <f t="shared" si="3"/>
        <v>0.9379780903</v>
      </c>
      <c r="E48" s="190">
        <f t="shared" si="4"/>
        <v>74.8475</v>
      </c>
      <c r="F48" s="122">
        <f t="shared" si="5"/>
        <v>23.82464349</v>
      </c>
      <c r="G48" s="123">
        <f>C48/Introduction!$I$20</f>
        <v>0.03069533301</v>
      </c>
      <c r="H48" s="192">
        <f t="shared" si="6"/>
        <v>0.009770605107</v>
      </c>
      <c r="I48" s="124">
        <f>E48/Introduction!$I$20</f>
        <v>0.7796614583</v>
      </c>
      <c r="J48" s="125">
        <f t="shared" si="7"/>
        <v>0.2481733697</v>
      </c>
      <c r="K48" s="51"/>
      <c r="L48" s="51"/>
      <c r="M48" s="51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286"/>
      <c r="AB48" s="286" t="s">
        <v>28</v>
      </c>
      <c r="AC48" s="287">
        <f>IF('Ship Data Imperial'!E49&gt;0,'Ship Data Imperial'!E49,AD48)</f>
        <v>0</v>
      </c>
      <c r="AD48" s="287">
        <f>'Ship Data Metric'!E49*0.03280839895</f>
        <v>0</v>
      </c>
      <c r="AE48" s="284">
        <f>IF(AC48&gt;0,Standing!$C$75*0.65,0)</f>
        <v>0</v>
      </c>
      <c r="AF48" s="280">
        <f>IF(AC48&gt;0,Standing!$C$75*0.25,0)</f>
        <v>0</v>
      </c>
      <c r="AG48" s="281">
        <f>IF(AC48&gt;0,Standing!$C$75*0.2,0)</f>
        <v>0</v>
      </c>
      <c r="AH48" s="282">
        <f>IF(AC48&gt;0,Standing!$C$75*0.5,0)</f>
        <v>0</v>
      </c>
      <c r="AI48" s="283">
        <f>IF(AC48&gt;0,Standing!$C$75*0.2,0)</f>
        <v>0</v>
      </c>
      <c r="AJ48" s="284">
        <f>IF(AC48&gt;0,Standing!$C$75*0.25,0)</f>
        <v>0</v>
      </c>
      <c r="AK48" s="281">
        <f>IF(AC48&gt;0,Standing!$C$81*0.8,0)</f>
        <v>0</v>
      </c>
      <c r="AL48" s="282">
        <f t="shared" si="8"/>
        <v>0</v>
      </c>
      <c r="AM48" s="283">
        <f>IF(AC48&gt;0,Standing!$C$81*0.66,0)</f>
        <v>0</v>
      </c>
      <c r="AN48" s="284">
        <f>IF(AC48&gt;0,Standing!$C$81*0.45,0)</f>
        <v>0</v>
      </c>
      <c r="AO48" s="280">
        <f>IF(AC48&gt;0,Standing!$C$81*0.3,0)</f>
        <v>0</v>
      </c>
      <c r="AP48" s="281">
        <f>IF(AC48&gt;0,Standing!$C$81*0.9,0)</f>
        <v>0</v>
      </c>
      <c r="AQ48" s="282">
        <f>IF(AC48&gt;0,Standing!$C$85*0.9,0)</f>
        <v>0</v>
      </c>
      <c r="AR48" s="283">
        <f>IF(AC48&gt;0,Standing!$C$85*0.5,0)</f>
        <v>0</v>
      </c>
      <c r="AS48" s="284">
        <f>IF(AC48&gt;0,Standing!$C$85*0.66,0)</f>
        <v>0</v>
      </c>
      <c r="AT48" s="280">
        <f>IF(AC48&gt;0,Standing!$C$85*0.66,0)</f>
        <v>0</v>
      </c>
      <c r="AU48" s="281">
        <f>IF(AC48&gt;0,Standing!$C$75*0.25,0)</f>
        <v>0</v>
      </c>
      <c r="AV48" s="282">
        <f>IF(AC48&gt;0,Standing!$C$75*0.12,0)</f>
        <v>0</v>
      </c>
      <c r="AW48" s="283">
        <f>IF(AC48&gt;0,Standing!$C$26*0.4,0)</f>
        <v>0</v>
      </c>
      <c r="AX48" s="284">
        <f>IF(AC48&gt;0,Standing!$C$26*0.4,0)</f>
        <v>0</v>
      </c>
      <c r="AY48" s="280">
        <f>IF(AC48&gt;0,Standing!$C$26*0.2,0)</f>
        <v>0</v>
      </c>
      <c r="AZ48" s="281">
        <f>IF(AC48&gt;0,Standing!$C$26*0.33,0)</f>
        <v>0</v>
      </c>
      <c r="BA48" s="282">
        <f>IF(AC48&gt;0,Standing!$C$26*0.2,0)</f>
        <v>0</v>
      </c>
      <c r="BB48" s="283">
        <f>IF(AC48&gt;0,Standing!$C$26*0.2,0)</f>
        <v>0</v>
      </c>
      <c r="BC48" s="284">
        <f>IF(AC48&gt;0,Standing!$C$32*0.4,0)</f>
        <v>0</v>
      </c>
      <c r="BD48" s="280">
        <f>IF(AC48&gt;0,Standing!$C$32*0.5,0)</f>
        <v>0</v>
      </c>
      <c r="BE48" s="281">
        <f>IF(AC48&gt;0,Standing!$C$32*0.33,0)</f>
        <v>0</v>
      </c>
      <c r="BF48" s="282">
        <f>IF(AC48&gt;0,Standing!$C$32*0.33,0)</f>
        <v>0</v>
      </c>
      <c r="BG48" s="283">
        <f>IF(AC48&gt;0,Standing!$C$32*0.33,0)</f>
        <v>0</v>
      </c>
      <c r="BH48" s="284">
        <f>IF(AC48&gt;0,Standing!$C$32*0.4,0)</f>
        <v>0</v>
      </c>
      <c r="BI48" s="280">
        <f>IF(AC48&gt;0,Standing!$C$26*0.75,0)</f>
        <v>0</v>
      </c>
      <c r="BJ48" s="281">
        <f>IF(AC48&gt;0,Standing!$C$26*0.5,0)</f>
        <v>0</v>
      </c>
      <c r="BK48" s="282">
        <f>IF(AC48&gt;0,Standing!$C$26*0.5,0)</f>
        <v>0</v>
      </c>
      <c r="BL48" s="283">
        <f>IF(AC48&gt;0,Standing!$C$32*0.66,0)</f>
        <v>0</v>
      </c>
      <c r="BM48" s="281">
        <f>IF(AC48&gt;0,Standing!$C$32*0.85,0)</f>
        <v>0</v>
      </c>
      <c r="BN48" s="284">
        <f t="shared" si="9"/>
        <v>0</v>
      </c>
      <c r="BO48" s="282">
        <f>IF(AC48&gt;0,Standing!$C$32*0.45,0)</f>
        <v>0</v>
      </c>
      <c r="BP48" s="280">
        <f>IF(AC48&gt;0,Standing!$C$32*0.66,0)</f>
        <v>0</v>
      </c>
      <c r="BQ48" s="281">
        <f>IF(AC48&gt;0,Standing!$C$32*0.5,0)</f>
        <v>0</v>
      </c>
      <c r="BR48" s="282">
        <f>IF(AC48&gt;0,Standing!$C$32*0.4,0)</f>
        <v>0</v>
      </c>
      <c r="BS48" s="283">
        <f>IF(AC48&gt;0,Standing!$C$32*0.33,0)</f>
        <v>0</v>
      </c>
      <c r="BT48" s="284">
        <f>IF(AC48&gt;0,Standing!$C$32*0.3,0)</f>
        <v>0</v>
      </c>
      <c r="BU48" s="280">
        <f>IF(AC48&gt;0,Standing!$C$36*0.9,0)</f>
        <v>0</v>
      </c>
      <c r="BV48" s="281">
        <f>IF(AC48&gt;0,Standing!$C$36*0.45,0)</f>
        <v>0</v>
      </c>
      <c r="BW48" s="282">
        <f>IF(AC48&gt;0,Standing!$C$126*0.75,0)</f>
        <v>0</v>
      </c>
      <c r="BX48" s="283">
        <f>IF(AC48&gt;0,Standing!$C$126*0.66,0)</f>
        <v>0</v>
      </c>
      <c r="BY48" s="284">
        <f>IF(AC48&gt;0,Standing!$C$126*0.66,0)</f>
        <v>0</v>
      </c>
      <c r="BZ48" s="280">
        <f>IF(AC48&gt;0,Standing!$C$126*0.375,0)</f>
        <v>0</v>
      </c>
      <c r="CA48" s="281">
        <f>IF(AC48&gt;0,Standing!$C$132,0)</f>
        <v>0</v>
      </c>
      <c r="CB48" s="282">
        <f>IF(AC48&gt;0,Standing!$C$132*0.75,0)</f>
        <v>0</v>
      </c>
      <c r="CC48" s="283">
        <f>IF(AC48&gt;0,Standing!$C$132,0)</f>
        <v>0</v>
      </c>
      <c r="CD48" s="284">
        <f>IF(AC48&gt;0,Standing!$C$132*0.66,0)</f>
        <v>0</v>
      </c>
      <c r="CE48" s="280">
        <f>IF(AC48&gt;0,Standing!$C$132*0.5,0)</f>
        <v>0</v>
      </c>
      <c r="CF48" s="281">
        <f>IF(AC48&gt;0,Standing!$C$132*0.75,0)</f>
        <v>0</v>
      </c>
      <c r="CG48" s="282">
        <f>IF(AC48&gt;0,Standing!$C$132*0.66,0)</f>
        <v>0</v>
      </c>
      <c r="CH48" s="283">
        <f>IF(AC48&gt;0,Standing!$C$132*0.75,0)</f>
        <v>0</v>
      </c>
      <c r="CI48" s="284">
        <f>IF(AC48&gt;0,Standing!$C$132*0.66,0)</f>
        <v>0</v>
      </c>
      <c r="CJ48" s="280">
        <f>IF(AC48&gt;0,Standing!$C$132*0.66,0)</f>
        <v>0</v>
      </c>
      <c r="CK48" s="281">
        <f>IF(AC48&gt;0,Standing!$C$126*0.75,0)</f>
        <v>0</v>
      </c>
      <c r="CL48" s="282">
        <f>IF(AC48&gt;0,Standing!$C$126,0)</f>
        <v>0</v>
      </c>
      <c r="CM48" s="283">
        <f>IF(AC48&gt;0,Standing!$C$126,0)</f>
        <v>0</v>
      </c>
      <c r="CN48" s="284">
        <f>IF(AC48&gt;0,Standing!$C$126*0.66,0)</f>
        <v>0</v>
      </c>
      <c r="CO48" s="280">
        <f>IF(AC48&gt;0,Standing!$C$126*0.4,0)</f>
        <v>0</v>
      </c>
      <c r="CP48" s="281">
        <f>IF(AC48&gt;0,Standing!$C$26*0.33,0)</f>
        <v>0</v>
      </c>
      <c r="CQ48" s="282">
        <f>IF(AC48&gt;0,Standing!$C$26*0.2,0)</f>
        <v>0</v>
      </c>
      <c r="CR48" s="283">
        <f>IF(AC48&gt;0,Standing!$C$26*0.25,0)</f>
        <v>0</v>
      </c>
      <c r="CS48" s="285">
        <f>IF(AC48&gt;0,Standing!$C$26*0.2,0)</f>
        <v>0</v>
      </c>
      <c r="CT48" s="286"/>
      <c r="CU48" s="286" t="s">
        <v>28</v>
      </c>
    </row>
    <row r="49" ht="15.75" customHeight="1">
      <c r="A49" s="51"/>
      <c r="B49" s="296" t="s">
        <v>504</v>
      </c>
      <c r="C49" s="189">
        <f>Standing!$C$26*0.165</f>
        <v>0.9724281496</v>
      </c>
      <c r="D49" s="218">
        <f t="shared" si="3"/>
        <v>0.3095327698</v>
      </c>
      <c r="E49" s="190">
        <f t="shared" si="4"/>
        <v>24.699675</v>
      </c>
      <c r="F49" s="122">
        <f t="shared" si="5"/>
        <v>7.862132353</v>
      </c>
      <c r="G49" s="123">
        <f>C49/Introduction!$I$20</f>
        <v>0.01012945989</v>
      </c>
      <c r="H49" s="192">
        <f t="shared" si="6"/>
        <v>0.003224299685</v>
      </c>
      <c r="I49" s="124">
        <f>E49/Introduction!$I$20</f>
        <v>0.2572882812</v>
      </c>
      <c r="J49" s="125">
        <f t="shared" si="7"/>
        <v>0.08189721201</v>
      </c>
      <c r="K49" s="51"/>
      <c r="L49" s="51"/>
      <c r="M49" s="51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286"/>
      <c r="AB49" s="286" t="s">
        <v>29</v>
      </c>
      <c r="AC49" s="287">
        <f>IF('Ship Data Imperial'!E50&gt;0,'Ship Data Imperial'!E50,AD49)</f>
        <v>0</v>
      </c>
      <c r="AD49" s="287">
        <f>'Ship Data Metric'!E50*0.03280839895</f>
        <v>0</v>
      </c>
      <c r="AE49" s="284">
        <f>IF(AC49&gt;0,Standing!$C$75*0.65,0)</f>
        <v>0</v>
      </c>
      <c r="AF49" s="280">
        <f>IF(AC49&gt;0,Standing!$C$75*0.25,0)</f>
        <v>0</v>
      </c>
      <c r="AG49" s="281">
        <f>IF(AC49&gt;0,Standing!$C$75*0.2,0)</f>
        <v>0</v>
      </c>
      <c r="AH49" s="282">
        <f>IF(AC49&gt;0,Standing!$C$75*0.5,0)</f>
        <v>0</v>
      </c>
      <c r="AI49" s="283">
        <f>IF(AC49&gt;0,Standing!$C$75*0.2,0)</f>
        <v>0</v>
      </c>
      <c r="AJ49" s="284">
        <f>IF(AC49&gt;0,Standing!$C$75*0.25,0)</f>
        <v>0</v>
      </c>
      <c r="AK49" s="281">
        <f>IF(AC49&gt;0,Standing!$C$81*0.8,0)</f>
        <v>0</v>
      </c>
      <c r="AL49" s="282">
        <f t="shared" si="8"/>
        <v>0</v>
      </c>
      <c r="AM49" s="283">
        <f>IF(AC49&gt;0,Standing!$C$81*0.66,0)</f>
        <v>0</v>
      </c>
      <c r="AN49" s="284">
        <f>IF(AC49&gt;0,Standing!$C$81*0.45,0)</f>
        <v>0</v>
      </c>
      <c r="AO49" s="280">
        <f>IF(AC49&gt;0,Standing!$C$81*0.3,0)</f>
        <v>0</v>
      </c>
      <c r="AP49" s="281">
        <f>IF(AC49&gt;0,Standing!$C$81*0.9,0)</f>
        <v>0</v>
      </c>
      <c r="AQ49" s="282">
        <f>IF(AC49&gt;0,Standing!$C$85*0.9,0)</f>
        <v>0</v>
      </c>
      <c r="AR49" s="283">
        <f>IF(AC49&gt;0,Standing!$C$85*0.5,0)</f>
        <v>0</v>
      </c>
      <c r="AS49" s="284">
        <f>IF(AC49&gt;0,Standing!$C$85*0.66,0)</f>
        <v>0</v>
      </c>
      <c r="AT49" s="280">
        <f>IF(AC49&gt;0,Standing!$C$85*0.66,0)</f>
        <v>0</v>
      </c>
      <c r="AU49" s="281">
        <f>IF(AC49&gt;0,Standing!$C$75*0.25,0)</f>
        <v>0</v>
      </c>
      <c r="AV49" s="282">
        <f>IF(AC49&gt;0,Standing!$C$75*0.12,0)</f>
        <v>0</v>
      </c>
      <c r="AW49" s="283">
        <f>IF(AC49&gt;0,Standing!$C$26*0.4,0)</f>
        <v>0</v>
      </c>
      <c r="AX49" s="284">
        <f>IF(AC49&gt;0,Standing!$C$26*0.4,0)</f>
        <v>0</v>
      </c>
      <c r="AY49" s="280">
        <f>IF(AC49&gt;0,Standing!$C$26*0.2,0)</f>
        <v>0</v>
      </c>
      <c r="AZ49" s="281">
        <f>IF(AC49&gt;0,Standing!$C$26*0.33,0)</f>
        <v>0</v>
      </c>
      <c r="BA49" s="282">
        <f>IF(AC49&gt;0,Standing!$C$26*0.2,0)</f>
        <v>0</v>
      </c>
      <c r="BB49" s="283">
        <f>IF(AC49&gt;0,Standing!$C$26*0.2,0)</f>
        <v>0</v>
      </c>
      <c r="BC49" s="284">
        <f>IF(AC49&gt;0,Standing!$C$32*0.4,0)</f>
        <v>0</v>
      </c>
      <c r="BD49" s="280">
        <f>IF(AC49&gt;0,Standing!$C$32*0.5,0)</f>
        <v>0</v>
      </c>
      <c r="BE49" s="281">
        <f>IF(AC49&gt;0,Standing!$C$32*0.33,0)</f>
        <v>0</v>
      </c>
      <c r="BF49" s="282">
        <f>IF(AC49&gt;0,Standing!$C$32*0.33,0)</f>
        <v>0</v>
      </c>
      <c r="BG49" s="283">
        <f>IF(AC49&gt;0,Standing!$C$32*0.33,0)</f>
        <v>0</v>
      </c>
      <c r="BH49" s="284">
        <f>IF(AC49&gt;0,Standing!$C$32*0.4,0)</f>
        <v>0</v>
      </c>
      <c r="BI49" s="280">
        <f>IF(AC49&gt;0,Standing!$C$26*0.75,0)</f>
        <v>0</v>
      </c>
      <c r="BJ49" s="281">
        <f>IF(AC49&gt;0,Standing!$C$26*0.5,0)</f>
        <v>0</v>
      </c>
      <c r="BK49" s="282">
        <f>IF(AC49&gt;0,Standing!$C$26*0.5,0)</f>
        <v>0</v>
      </c>
      <c r="BL49" s="283">
        <f>IF(AC49&gt;0,Standing!$C$32*0.66,0)</f>
        <v>0</v>
      </c>
      <c r="BM49" s="281">
        <f>IF(AC49&gt;0,Standing!$C$32*0.85,0)</f>
        <v>0</v>
      </c>
      <c r="BN49" s="284">
        <f t="shared" si="9"/>
        <v>0</v>
      </c>
      <c r="BO49" s="282">
        <f>IF(AC49&gt;0,Standing!$C$32*0.45,0)</f>
        <v>0</v>
      </c>
      <c r="BP49" s="280">
        <f>IF(AC49&gt;0,Standing!$C$32*0.66,0)</f>
        <v>0</v>
      </c>
      <c r="BQ49" s="281">
        <f>IF(AC49&gt;0,Standing!$C$32*0.5,0)</f>
        <v>0</v>
      </c>
      <c r="BR49" s="282">
        <f>IF(AC49&gt;0,Standing!$C$32*0.4,0)</f>
        <v>0</v>
      </c>
      <c r="BS49" s="283">
        <f>IF(AC49&gt;0,Standing!$C$32*0.375,0)</f>
        <v>0</v>
      </c>
      <c r="BT49" s="284">
        <f>IF(AC49&gt;0,Standing!$C$32*0.3,0)</f>
        <v>0</v>
      </c>
      <c r="BU49" s="280">
        <f>IF(AC49&gt;0,Standing!$C$36*0.9,0)</f>
        <v>0</v>
      </c>
      <c r="BV49" s="281">
        <f>IF(AC49&gt;0,Standing!$C$36*0.45,0)</f>
        <v>0</v>
      </c>
      <c r="BW49" s="282">
        <f>IF(AC49&gt;0,Standing!$C$126*0.75,0)</f>
        <v>0</v>
      </c>
      <c r="BX49" s="283">
        <f>IF(AC49&gt;0,Standing!$C$126*0.66,0)</f>
        <v>0</v>
      </c>
      <c r="BY49" s="284">
        <f>IF(AC49&gt;0,Standing!$C$126*0.66,0)</f>
        <v>0</v>
      </c>
      <c r="BZ49" s="280">
        <f>IF(AC49&gt;0,Standing!$C$126*0.375,0)</f>
        <v>0</v>
      </c>
      <c r="CA49" s="281">
        <f>IF(AC49&gt;0,Standing!$C$132,0)</f>
        <v>0</v>
      </c>
      <c r="CB49" s="282">
        <f>IF(AC49&gt;0,Standing!$C$132*0.75,0)</f>
        <v>0</v>
      </c>
      <c r="CC49" s="283">
        <f>IF(AC49&gt;0,Standing!$C$132,0)</f>
        <v>0</v>
      </c>
      <c r="CD49" s="284">
        <f>IF(AC49&gt;0,Standing!$C$132*0.66,0)</f>
        <v>0</v>
      </c>
      <c r="CE49" s="280">
        <f>IF(AC49&gt;0,Standing!$C$132*0.5,0)</f>
        <v>0</v>
      </c>
      <c r="CF49" s="281">
        <f>IF(AC49&gt;0,Standing!$C$132*0.75,0)</f>
        <v>0</v>
      </c>
      <c r="CG49" s="282">
        <f>IF(AC49&gt;0,Standing!$C$132*0.66,0)</f>
        <v>0</v>
      </c>
      <c r="CH49" s="283">
        <f>IF(AC49&gt;0,Standing!$C$132*0.75,0)</f>
        <v>0</v>
      </c>
      <c r="CI49" s="284">
        <f>IF(AC49&gt;0,Standing!$C$132*0.66,0)</f>
        <v>0</v>
      </c>
      <c r="CJ49" s="280">
        <f>IF(AC49&gt;0,Standing!$C$132*0.66,0)</f>
        <v>0</v>
      </c>
      <c r="CK49" s="281">
        <f>IF(AC49&gt;0,Standing!$C$126*0.75,0)</f>
        <v>0</v>
      </c>
      <c r="CL49" s="282">
        <f>IF(AC49&gt;0,Standing!$C$126,0)</f>
        <v>0</v>
      </c>
      <c r="CM49" s="283">
        <f>IF(AC49&gt;0,Standing!$C$126,0)</f>
        <v>0</v>
      </c>
      <c r="CN49" s="284">
        <f>IF(AC49&gt;0,Standing!$C$126*0.66,0)</f>
        <v>0</v>
      </c>
      <c r="CO49" s="280">
        <f>IF(AC49&gt;0,Standing!$C$126*0.4,0)</f>
        <v>0</v>
      </c>
      <c r="CP49" s="281">
        <f>IF(AC49&gt;0,Standing!$C$26*0.33,0)</f>
        <v>0</v>
      </c>
      <c r="CQ49" s="282">
        <f>IF(AC49&gt;0,Standing!$C$26*0.2,0)</f>
        <v>0</v>
      </c>
      <c r="CR49" s="283">
        <f>IF(AC49&gt;0,Standing!$C$26*0.25,0)</f>
        <v>0</v>
      </c>
      <c r="CS49" s="285">
        <f>IF(AC49&gt;0,Standing!$C$26*0.2,0)</f>
        <v>0</v>
      </c>
      <c r="CT49" s="286"/>
      <c r="CU49" s="286" t="s">
        <v>29</v>
      </c>
    </row>
    <row r="50" ht="15.75" customHeight="1">
      <c r="A50" s="51"/>
      <c r="B50" s="296" t="s">
        <v>505</v>
      </c>
      <c r="C50" s="189">
        <f>Standing!C26*0.45</f>
        <v>2.652076772</v>
      </c>
      <c r="D50" s="218">
        <f t="shared" si="3"/>
        <v>0.8441802813</v>
      </c>
      <c r="E50" s="190">
        <f t="shared" si="4"/>
        <v>67.36275</v>
      </c>
      <c r="F50" s="122">
        <f t="shared" si="5"/>
        <v>21.44217914</v>
      </c>
      <c r="G50" s="123">
        <f>C50/Introduction!$I$20</f>
        <v>0.0276257997</v>
      </c>
      <c r="H50" s="192">
        <f t="shared" si="6"/>
        <v>0.008793544597</v>
      </c>
      <c r="I50" s="124">
        <f>E50/Introduction!$I$20</f>
        <v>0.7016953125</v>
      </c>
      <c r="J50" s="125">
        <f t="shared" si="7"/>
        <v>0.2233560328</v>
      </c>
      <c r="K50" s="51"/>
      <c r="L50" s="51"/>
      <c r="M50" s="51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286" t="s">
        <v>37</v>
      </c>
      <c r="AB50" s="286" t="s">
        <v>24</v>
      </c>
      <c r="AC50" s="287">
        <f>IF('Ship Data Imperial'!E51&gt;0,'Ship Data Imperial'!E51,AD50)</f>
        <v>0</v>
      </c>
      <c r="AD50" s="287">
        <f>'Ship Data Metric'!E51*0.03280839895</f>
        <v>0</v>
      </c>
      <c r="AE50" s="284">
        <f>IF(AC50&gt;0,Standing!$C$75*0.45,0)</f>
        <v>0</v>
      </c>
      <c r="AF50" s="280">
        <f>IF(AC50&gt;0,Standing!$C$75*0.25,0)</f>
        <v>0</v>
      </c>
      <c r="AG50" s="281">
        <f>IF(AC50&gt;0,Standing!$C$75*0.165,0)</f>
        <v>0</v>
      </c>
      <c r="AH50" s="282">
        <f>IF(AC50&gt;0,Standing!$C$75*0.5,0)</f>
        <v>0</v>
      </c>
      <c r="AI50" s="283">
        <f>IF(AC50&gt;0,Standing!$C$75*0.16,0)</f>
        <v>0</v>
      </c>
      <c r="AJ50" s="284">
        <f>IF(AC50&gt;0,Standing!$C$75*0.2,0)</f>
        <v>0</v>
      </c>
      <c r="AK50" s="281">
        <f>IF(AC50&gt;0,Standing!$C$81*0.66,0)</f>
        <v>0</v>
      </c>
      <c r="AL50" s="282">
        <f t="shared" si="8"/>
        <v>0</v>
      </c>
      <c r="AM50" s="283">
        <f>IF(AC50&gt;0,Standing!$C$81*0.5,0)</f>
        <v>0</v>
      </c>
      <c r="AN50" s="284">
        <f>IF(AC50&gt;0,Standing!$C$81*0.55,0)</f>
        <v>0</v>
      </c>
      <c r="AO50" s="280">
        <f>IF(AC50&gt;0,Standing!$C$81*0.36,0)</f>
        <v>0</v>
      </c>
      <c r="AP50" s="281">
        <f>IF(AC50&gt;0,Standing!$C$81,0)</f>
        <v>0</v>
      </c>
      <c r="AQ50" s="282">
        <f>IF(AC50&gt;0,Standing!$C$85*0.9,0)</f>
        <v>0</v>
      </c>
      <c r="AR50" s="283">
        <f>IF(AC50&gt;0,Standing!$C$85*0.5,0)</f>
        <v>0</v>
      </c>
      <c r="AS50" s="284">
        <f>IF(AC50&gt;0,Standing!$C$85*0.66,0)</f>
        <v>0</v>
      </c>
      <c r="AT50" s="280">
        <f>IF(AC50&gt;0,Standing!$C$85*0.66,0)</f>
        <v>0</v>
      </c>
      <c r="AU50" s="281">
        <f>IF(AC50&gt;0,Standing!$C$75*0.2,0)</f>
        <v>0</v>
      </c>
      <c r="AV50" s="282">
        <f>IF(AC50&gt;0,Standing!$C$75*0.12,0)</f>
        <v>0</v>
      </c>
      <c r="AW50" s="283">
        <f>IF(AC50&gt;0,Standing!$C$26*0.4,0)</f>
        <v>0</v>
      </c>
      <c r="AX50" s="284">
        <f>IF(AC50&gt;0,Standing!$C$26*0.4,0)</f>
        <v>0</v>
      </c>
      <c r="AY50" s="280">
        <f>IF(AC50&gt;0,Standing!$C$26*0.2,0)</f>
        <v>0</v>
      </c>
      <c r="AZ50" s="281">
        <f>IF(AC50&gt;0,Standing!$C$26*0.33,0)</f>
        <v>0</v>
      </c>
      <c r="BA50" s="282">
        <f>IF(AC50&gt;0,Standing!$C$26*0.2,0)</f>
        <v>0</v>
      </c>
      <c r="BB50" s="283">
        <f>IF(AC50&gt;0,Standing!$C$26*0.2,0)</f>
        <v>0</v>
      </c>
      <c r="BC50" s="284">
        <f>IF(AC50&gt;0,Standing!$C$32*0.4,0)</f>
        <v>0</v>
      </c>
      <c r="BD50" s="280">
        <f>IF(AC50&gt;0,Standing!$C$32*0.5,0)</f>
        <v>0</v>
      </c>
      <c r="BE50" s="281">
        <f>IF(AC50&gt;0,Standing!$C$32*0.33,0)</f>
        <v>0</v>
      </c>
      <c r="BF50" s="282">
        <f>IF(AC50&gt;0,Standing!$C$32*0.33,0)</f>
        <v>0</v>
      </c>
      <c r="BG50" s="283">
        <f>IF(AC50&gt;0,Standing!$C$32*0.33,0)</f>
        <v>0</v>
      </c>
      <c r="BH50" s="284">
        <f>IF(AC50&gt;0,Standing!$C$32*0.33,0)</f>
        <v>0</v>
      </c>
      <c r="BI50" s="280">
        <f>IF(AC50&gt;0,Standing!$C$26*0.5,0)</f>
        <v>0</v>
      </c>
      <c r="BJ50" s="281">
        <f>IF(AC50&gt;0,Standing!$C$26*0.5,0)</f>
        <v>0</v>
      </c>
      <c r="BK50" s="282">
        <f>IF(AC50&gt;0,Standing!$C$26*0.5,0)</f>
        <v>0</v>
      </c>
      <c r="BL50" s="283">
        <f>IF(AC50&gt;0,Standing!$C$32*0.66,0)</f>
        <v>0</v>
      </c>
      <c r="BM50" s="281">
        <f>IF(AC50&gt;0,Standing!$C$32*0.9,0)</f>
        <v>0</v>
      </c>
      <c r="BN50" s="284">
        <f t="shared" si="9"/>
        <v>0</v>
      </c>
      <c r="BO50" s="282">
        <f>IF(AC50&gt;0,Standing!$C$32*0.5,0)</f>
        <v>0</v>
      </c>
      <c r="BP50" s="280">
        <f>IF(AC50&gt;0,Standing!$C$32*0.5,0)</f>
        <v>0</v>
      </c>
      <c r="BQ50" s="281">
        <f>IF(AC50&gt;0,Standing!$C$32*0.66,0)</f>
        <v>0</v>
      </c>
      <c r="BR50" s="282">
        <f>IF(AC50&gt;0,Standing!$C$32*0.33,0)</f>
        <v>0</v>
      </c>
      <c r="BS50" s="283">
        <f>IF(AC50&gt;0,Standing!$C$32*0.33,0)</f>
        <v>0</v>
      </c>
      <c r="BT50" s="284">
        <f>IF(AC50&gt;0,Standing!$C$32*0.3,0)</f>
        <v>0</v>
      </c>
      <c r="BU50" s="280">
        <f>IF(AC50&gt;0,Standing!$C$36*0.9,0)</f>
        <v>0</v>
      </c>
      <c r="BV50" s="281">
        <f>IF(AC50&gt;0,Standing!$C$36*0.45,0)</f>
        <v>0</v>
      </c>
      <c r="BW50" s="282">
        <f>IF(AC50&gt;0,Standing!$C$126*0.75,0)</f>
        <v>0</v>
      </c>
      <c r="BX50" s="283">
        <f>IF(AC50&gt;0,Standing!$C$126*0.66,0)</f>
        <v>0</v>
      </c>
      <c r="BY50" s="284">
        <f>IF(AC50&gt;0,Standing!$C$126*0.66,0)</f>
        <v>0</v>
      </c>
      <c r="BZ50" s="280">
        <f>IF(AC50&gt;0,Standing!$C$126*0.375,0)</f>
        <v>0</v>
      </c>
      <c r="CA50" s="281">
        <f>IF(AC50&gt;0,Standing!$C$132,0)</f>
        <v>0</v>
      </c>
      <c r="CB50" s="282">
        <f>IF(AC50&gt;0,Standing!$C$132*0.75,0)</f>
        <v>0</v>
      </c>
      <c r="CC50" s="283">
        <f>IF(AC50&gt;0,Standing!$C$132,0)</f>
        <v>0</v>
      </c>
      <c r="CD50" s="284">
        <f>IF(AC50&gt;0,Standing!$C$132*0.66,0)</f>
        <v>0</v>
      </c>
      <c r="CE50" s="280">
        <f>IF(AC50&gt;0,Standing!$C$132*0.4,0)</f>
        <v>0</v>
      </c>
      <c r="CF50" s="281">
        <f>IF(AC50&gt;0,Standing!$C$132*0.75,0)</f>
        <v>0</v>
      </c>
      <c r="CG50" s="282">
        <f>IF(AC50&gt;0,Standing!$C$132*0.66,0)</f>
        <v>0</v>
      </c>
      <c r="CH50" s="283">
        <f>IF(AC50&gt;0,Standing!$C$132*0.75,0)</f>
        <v>0</v>
      </c>
      <c r="CI50" s="284">
        <f>IF(AC50&gt;0,Standing!$C$132*0.66,0)</f>
        <v>0</v>
      </c>
      <c r="CJ50" s="280">
        <f>IF(AC50&gt;0,Standing!$C$132*0.66,0)</f>
        <v>0</v>
      </c>
      <c r="CK50" s="281">
        <f>IF(AC50&gt;0,Standing!$C$126*0.75,0)</f>
        <v>0</v>
      </c>
      <c r="CL50" s="282">
        <f>IF(AC50&gt;0,Standing!$C$126,0)</f>
        <v>0</v>
      </c>
      <c r="CM50" s="283">
        <f>IF(AC50&gt;0,Standing!$C$126,0)</f>
        <v>0</v>
      </c>
      <c r="CN50" s="284">
        <f>IF(AC50&gt;0,Standing!$C$126*0.66,0)</f>
        <v>0</v>
      </c>
      <c r="CO50" s="280">
        <f>IF(AC50&gt;0,Standing!$C$126*0.4,0)</f>
        <v>0</v>
      </c>
      <c r="CP50" s="281">
        <f>IF(AC50&gt;0,Standing!$C$26*0.25,0)</f>
        <v>0</v>
      </c>
      <c r="CQ50" s="282">
        <f>IF(AC50&gt;0,Standing!$C$26*0.165,0)</f>
        <v>0</v>
      </c>
      <c r="CR50" s="283">
        <f>IF(AC50&gt;0,Standing!$C$26*0.2,0)</f>
        <v>0</v>
      </c>
      <c r="CS50" s="285">
        <f>IF(AC50&gt;0,Standing!$C$26*0.16,0)</f>
        <v>0</v>
      </c>
      <c r="CT50" s="286" t="s">
        <v>37</v>
      </c>
      <c r="CU50" s="286" t="s">
        <v>24</v>
      </c>
    </row>
    <row r="51" ht="15.75" customHeight="1">
      <c r="A51" s="51"/>
      <c r="B51" s="296" t="s">
        <v>506</v>
      </c>
      <c r="C51" s="189">
        <f>Standing!C26*0.18</f>
        <v>1.060830709</v>
      </c>
      <c r="D51" s="218">
        <f t="shared" si="3"/>
        <v>0.3376721125</v>
      </c>
      <c r="E51" s="190">
        <f t="shared" si="4"/>
        <v>26.9451</v>
      </c>
      <c r="F51" s="122">
        <f t="shared" si="5"/>
        <v>8.576871658</v>
      </c>
      <c r="G51" s="123">
        <f>C51/Introduction!$I$20</f>
        <v>0.01105031988</v>
      </c>
      <c r="H51" s="192">
        <f t="shared" si="6"/>
        <v>0.003517417839</v>
      </c>
      <c r="I51" s="124">
        <f>E51/Introduction!$I$20</f>
        <v>0.280678125</v>
      </c>
      <c r="J51" s="125">
        <f t="shared" si="7"/>
        <v>0.0893424131</v>
      </c>
      <c r="K51" s="51"/>
      <c r="L51" s="51"/>
      <c r="M51" s="51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286"/>
      <c r="AB51" s="286" t="s">
        <v>25</v>
      </c>
      <c r="AC51" s="287">
        <f>IF('Ship Data Imperial'!E52&gt;0,'Ship Data Imperial'!E52,AD51)</f>
        <v>0</v>
      </c>
      <c r="AD51" s="287">
        <f>'Ship Data Metric'!E52*0.03280839895</f>
        <v>0</v>
      </c>
      <c r="AE51" s="284">
        <f>IF(AC51&gt;0,Standing!$C$75*0.45,0)</f>
        <v>0</v>
      </c>
      <c r="AF51" s="280">
        <f>IF(AC51&gt;0,Standing!$C$75*0.25,0)</f>
        <v>0</v>
      </c>
      <c r="AG51" s="281">
        <f>IF(AC51&gt;0,Standing!$C$75*0.165,0)</f>
        <v>0</v>
      </c>
      <c r="AH51" s="282">
        <f>IF(AC51&gt;0,Standing!$C$75*0.5,0)</f>
        <v>0</v>
      </c>
      <c r="AI51" s="283">
        <f>IF(AC51&gt;0,Standing!$C$75*0.16,0)</f>
        <v>0</v>
      </c>
      <c r="AJ51" s="284">
        <f>IF(AC51&gt;0,Standing!$C$75*0.2,0)</f>
        <v>0</v>
      </c>
      <c r="AK51" s="281">
        <f>IF(AC51&gt;0,Standing!$C$81*0.66,0)</f>
        <v>0</v>
      </c>
      <c r="AL51" s="282">
        <f t="shared" si="8"/>
        <v>0</v>
      </c>
      <c r="AM51" s="283">
        <f>IF(AC51&gt;0,Standing!$C$81*0.5,0)</f>
        <v>0</v>
      </c>
      <c r="AN51" s="284">
        <f>IF(AC51&gt;0,Standing!$C$81*0.55,0)</f>
        <v>0</v>
      </c>
      <c r="AO51" s="280">
        <f>IF(AC51&gt;0,Standing!$C$81*0.36,0)</f>
        <v>0</v>
      </c>
      <c r="AP51" s="281">
        <f>IF(AC51&gt;0,Standing!$C$81,0)</f>
        <v>0</v>
      </c>
      <c r="AQ51" s="282">
        <f>IF(AC51&gt;0,Standing!$C$85*0.9,0)</f>
        <v>0</v>
      </c>
      <c r="AR51" s="283">
        <f>IF(AC51&gt;0,Standing!$C$85*0.5,0)</f>
        <v>0</v>
      </c>
      <c r="AS51" s="284">
        <f>IF(AC51&gt;0,Standing!$C$85*0.66,0)</f>
        <v>0</v>
      </c>
      <c r="AT51" s="280">
        <f>IF(AC51&gt;0,Standing!$C$85*0.66,0)</f>
        <v>0</v>
      </c>
      <c r="AU51" s="281">
        <f>IF(AC51&gt;0,Standing!$C$75*0.2,0)</f>
        <v>0</v>
      </c>
      <c r="AV51" s="282">
        <f>IF(AC51&gt;0,Standing!$C$75*0.12,0)</f>
        <v>0</v>
      </c>
      <c r="AW51" s="283">
        <f>IF(AC51&gt;0,Standing!$C$26*0.4,0)</f>
        <v>0</v>
      </c>
      <c r="AX51" s="284">
        <f>IF(AC51&gt;0,Standing!$C$26*0.4,0)</f>
        <v>0</v>
      </c>
      <c r="AY51" s="280">
        <f>IF(AC51&gt;0,Standing!$C$26*0.2,0)</f>
        <v>0</v>
      </c>
      <c r="AZ51" s="281">
        <f>IF(AC51&gt;0,Standing!$C$26*0.33,0)</f>
        <v>0</v>
      </c>
      <c r="BA51" s="282">
        <f>IF(AC51&gt;0,Standing!$C$26*0.2,0)</f>
        <v>0</v>
      </c>
      <c r="BB51" s="283">
        <f>IF(AC51&gt;0,Standing!$C$26*0.2,0)</f>
        <v>0</v>
      </c>
      <c r="BC51" s="284">
        <f>IF(AC51&gt;0,Standing!$C$32*0.4,0)</f>
        <v>0</v>
      </c>
      <c r="BD51" s="280">
        <f>IF(AC51&gt;0,Standing!$C$32*0.5,0)</f>
        <v>0</v>
      </c>
      <c r="BE51" s="281">
        <f>IF(AC51&gt;0,Standing!$C$32*0.33,0)</f>
        <v>0</v>
      </c>
      <c r="BF51" s="282">
        <f>IF(AC51&gt;0,Standing!$C$32*0.33,0)</f>
        <v>0</v>
      </c>
      <c r="BG51" s="283">
        <f>IF(AC51&gt;0,Standing!$C$32*0.33,0)</f>
        <v>0</v>
      </c>
      <c r="BH51" s="284">
        <f>IF(AC51&gt;0,Standing!$C$32*0.33,0)</f>
        <v>0</v>
      </c>
      <c r="BI51" s="280">
        <f>IF(AC51&gt;0,Standing!$C$26*0.5,0)</f>
        <v>0</v>
      </c>
      <c r="BJ51" s="281">
        <f>IF(AC51&gt;0,Standing!$C$26*0.5,0)</f>
        <v>0</v>
      </c>
      <c r="BK51" s="282">
        <f>IF(AC51&gt;0,Standing!$C$26*0.5,0)</f>
        <v>0</v>
      </c>
      <c r="BL51" s="283">
        <f>IF(AC51&gt;0,Standing!$C$32*0.66,0)</f>
        <v>0</v>
      </c>
      <c r="BM51" s="281">
        <f>IF(AC51&gt;0,Standing!$C$32*0.9,0)</f>
        <v>0</v>
      </c>
      <c r="BN51" s="284">
        <f t="shared" si="9"/>
        <v>0</v>
      </c>
      <c r="BO51" s="282">
        <f>IF(AC51&gt;0,Standing!$C$32*0.5,0)</f>
        <v>0</v>
      </c>
      <c r="BP51" s="280">
        <f>IF(AC51&gt;0,Standing!$C$32*0.5,0)</f>
        <v>0</v>
      </c>
      <c r="BQ51" s="281">
        <f>IF(AC51&gt;0,Standing!$C$32*0.66,0)</f>
        <v>0</v>
      </c>
      <c r="BR51" s="282">
        <f>IF(AC51&gt;0,Standing!$C$32*0.33,0)</f>
        <v>0</v>
      </c>
      <c r="BS51" s="283">
        <f>IF(AC51&gt;0,Standing!$C$32*0.33,0)</f>
        <v>0</v>
      </c>
      <c r="BT51" s="284">
        <f>IF(AC51&gt;0,Standing!$C$32*0.3,0)</f>
        <v>0</v>
      </c>
      <c r="BU51" s="280">
        <f>IF(AC51&gt;0,Standing!$C$36*0.9,0)</f>
        <v>0</v>
      </c>
      <c r="BV51" s="281">
        <f>IF(AC51&gt;0,Standing!$C$36*0.45,0)</f>
        <v>0</v>
      </c>
      <c r="BW51" s="282">
        <f>IF(AC51&gt;0,Standing!$C$126*0.75,0)</f>
        <v>0</v>
      </c>
      <c r="BX51" s="283">
        <f>IF(AC51&gt;0,Standing!$C$126*0.66,0)</f>
        <v>0</v>
      </c>
      <c r="BY51" s="284">
        <f>IF(AC51&gt;0,Standing!$C$126*0.66,0)</f>
        <v>0</v>
      </c>
      <c r="BZ51" s="280">
        <f>IF(AC51&gt;0,Standing!$C$126*0.375,0)</f>
        <v>0</v>
      </c>
      <c r="CA51" s="281">
        <f>IF(AC51&gt;0,Standing!$C$132,0)</f>
        <v>0</v>
      </c>
      <c r="CB51" s="282">
        <f>IF(AC51&gt;0,Standing!$C$132*0.75,0)</f>
        <v>0</v>
      </c>
      <c r="CC51" s="283">
        <f>IF(AC51&gt;0,Standing!$C$132,0)</f>
        <v>0</v>
      </c>
      <c r="CD51" s="284">
        <f>IF(AC51&gt;0,Standing!$C$132*0.66,0)</f>
        <v>0</v>
      </c>
      <c r="CE51" s="280">
        <f>IF(AC51&gt;0,Standing!$C$132*0.4,0)</f>
        <v>0</v>
      </c>
      <c r="CF51" s="281">
        <f>IF(AC51&gt;0,Standing!$C$132*0.75,0)</f>
        <v>0</v>
      </c>
      <c r="CG51" s="282">
        <f>IF(AC51&gt;0,Standing!$C$132*0.66,0)</f>
        <v>0</v>
      </c>
      <c r="CH51" s="283">
        <f>IF(AC51&gt;0,Standing!$C$132*0.75,0)</f>
        <v>0</v>
      </c>
      <c r="CI51" s="284">
        <f>IF(AC51&gt;0,Standing!$C$132*0.66,0)</f>
        <v>0</v>
      </c>
      <c r="CJ51" s="280">
        <f>IF(AC51&gt;0,Standing!$C$132*0.66,0)</f>
        <v>0</v>
      </c>
      <c r="CK51" s="281">
        <f>IF(AC51&gt;0,Standing!$C$126*0.75,0)</f>
        <v>0</v>
      </c>
      <c r="CL51" s="282">
        <f>IF(AC51&gt;0,Standing!$C$126,0)</f>
        <v>0</v>
      </c>
      <c r="CM51" s="283">
        <f>IF(AC51&gt;0,Standing!$C$126,0)</f>
        <v>0</v>
      </c>
      <c r="CN51" s="284">
        <f>IF(AC51&gt;0,Standing!$C$126*0.66,0)</f>
        <v>0</v>
      </c>
      <c r="CO51" s="280">
        <f>IF(AC51&gt;0,Standing!$C$126*0.4,0)</f>
        <v>0</v>
      </c>
      <c r="CP51" s="281">
        <f>IF(AC51&gt;0,Standing!$C$26*0.25,0)</f>
        <v>0</v>
      </c>
      <c r="CQ51" s="282">
        <f>IF(AC51&gt;0,Standing!$C$26*0.165,0)</f>
        <v>0</v>
      </c>
      <c r="CR51" s="283">
        <f>IF(AC51&gt;0,Standing!$C$26*0.2,0)</f>
        <v>0</v>
      </c>
      <c r="CS51" s="285">
        <f>IF(AC51&gt;0,Standing!$C$26*0.16,0)</f>
        <v>0</v>
      </c>
      <c r="CT51" s="286"/>
      <c r="CU51" s="286" t="s">
        <v>25</v>
      </c>
    </row>
    <row r="52" ht="15.75" customHeight="1">
      <c r="A52" s="51"/>
      <c r="B52" s="296" t="s">
        <v>507</v>
      </c>
      <c r="C52" s="189">
        <f>Standing!C26*0.33</f>
        <v>1.944856299</v>
      </c>
      <c r="D52" s="218">
        <f t="shared" si="3"/>
        <v>0.6190655396</v>
      </c>
      <c r="E52" s="190">
        <f t="shared" si="4"/>
        <v>49.39935</v>
      </c>
      <c r="F52" s="122">
        <f t="shared" si="5"/>
        <v>15.72426471</v>
      </c>
      <c r="G52" s="123">
        <f>C52/Introduction!$I$20</f>
        <v>0.02025891978</v>
      </c>
      <c r="H52" s="192">
        <f t="shared" si="6"/>
        <v>0.006448599371</v>
      </c>
      <c r="I52" s="124">
        <f>E52/Introduction!$I$20</f>
        <v>0.5145765625</v>
      </c>
      <c r="J52" s="125">
        <f t="shared" si="7"/>
        <v>0.163794424</v>
      </c>
      <c r="K52" s="51"/>
      <c r="L52" s="51"/>
      <c r="M52" s="51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286"/>
      <c r="AB52" s="286" t="s">
        <v>26</v>
      </c>
      <c r="AC52" s="287">
        <f>IF('Ship Data Imperial'!E53&gt;0,'Ship Data Imperial'!E53,AD52)</f>
        <v>0</v>
      </c>
      <c r="AD52" s="287">
        <f>'Ship Data Metric'!E53*0.03280839895</f>
        <v>0</v>
      </c>
      <c r="AE52" s="284">
        <f>IF(AC52&gt;0,Standing!$C$75*0.45,0)</f>
        <v>0</v>
      </c>
      <c r="AF52" s="280">
        <f>IF(AC52&gt;0,Standing!$C$75*0.25,0)</f>
        <v>0</v>
      </c>
      <c r="AG52" s="281">
        <f>IF(AC52&gt;0,Standing!$C$75*0.2,0)</f>
        <v>0</v>
      </c>
      <c r="AH52" s="282">
        <f>IF(AC52&gt;0,Standing!$C$75*0.5,0)</f>
        <v>0</v>
      </c>
      <c r="AI52" s="283">
        <f>IF(AC52&gt;0,Standing!$C$75*0.2,0)</f>
        <v>0</v>
      </c>
      <c r="AJ52" s="284">
        <f>IF(AC52&gt;0,Standing!$C$75*0.25,0)</f>
        <v>0</v>
      </c>
      <c r="AK52" s="281">
        <f>IF(AC52&gt;0,Standing!$C$81*0.8,0)</f>
        <v>0</v>
      </c>
      <c r="AL52" s="282">
        <f t="shared" si="8"/>
        <v>0</v>
      </c>
      <c r="AM52" s="283">
        <f>IF(AC52&gt;0,Standing!$C$81*0.66,0)</f>
        <v>0</v>
      </c>
      <c r="AN52" s="284">
        <f>IF(AC52&gt;0,Standing!$C$81*0.55,0)</f>
        <v>0</v>
      </c>
      <c r="AO52" s="280">
        <f>IF(AC52&gt;0,Standing!$C$81*0.36,0)</f>
        <v>0</v>
      </c>
      <c r="AP52" s="281">
        <f>IF(AC52&gt;0,Standing!$C$81*0.9,0)</f>
        <v>0</v>
      </c>
      <c r="AQ52" s="282">
        <f>IF(AC52&gt;0,Standing!$C$85*0.9,0)</f>
        <v>0</v>
      </c>
      <c r="AR52" s="283">
        <f>IF(AC52&gt;0,Standing!$C$85*0.5,0)</f>
        <v>0</v>
      </c>
      <c r="AS52" s="284">
        <f>IF(AC52&gt;0,Standing!$C$85*0.66,0)</f>
        <v>0</v>
      </c>
      <c r="AT52" s="280">
        <f>IF(AC52&gt;0,Standing!$C$85*0.66,0)</f>
        <v>0</v>
      </c>
      <c r="AU52" s="281">
        <f>IF(AC52&gt;0,Standing!$C$75*0.2,0)</f>
        <v>0</v>
      </c>
      <c r="AV52" s="282">
        <f>IF(AC52&gt;0,Standing!$C$75*0.12,0)</f>
        <v>0</v>
      </c>
      <c r="AW52" s="283">
        <f>IF(AC52&gt;0,Standing!$C$26*0.4,0)</f>
        <v>0</v>
      </c>
      <c r="AX52" s="284">
        <f>IF(AC52&gt;0,Standing!$C$26*0.4,0)</f>
        <v>0</v>
      </c>
      <c r="AY52" s="280">
        <f>IF(AC52&gt;0,Standing!$C$26*0.2,0)</f>
        <v>0</v>
      </c>
      <c r="AZ52" s="281">
        <f>IF(AC52&gt;0,Standing!$C$26*0.33,0)</f>
        <v>0</v>
      </c>
      <c r="BA52" s="282">
        <f>IF(AC52&gt;0,Standing!$C$26*0.2,0)</f>
        <v>0</v>
      </c>
      <c r="BB52" s="283">
        <f>IF(AC52&gt;0,Standing!$C$26*0.2,0)</f>
        <v>0</v>
      </c>
      <c r="BC52" s="284">
        <f>IF(AC52&gt;0,Standing!$C$32*0.4,0)</f>
        <v>0</v>
      </c>
      <c r="BD52" s="280">
        <f>IF(AC52&gt;0,Standing!$C$32*0.5,0)</f>
        <v>0</v>
      </c>
      <c r="BE52" s="281">
        <f>IF(AC52&gt;0,Standing!$C$32*0.33,0)</f>
        <v>0</v>
      </c>
      <c r="BF52" s="282">
        <f>IF(AC52&gt;0,Standing!$C$32*0.33,0)</f>
        <v>0</v>
      </c>
      <c r="BG52" s="283">
        <f>IF(AC52&gt;0,Standing!$C$32*0.33,0)</f>
        <v>0</v>
      </c>
      <c r="BH52" s="284">
        <f>IF(AC52&gt;0,Standing!$C$32*0.4,0)</f>
        <v>0</v>
      </c>
      <c r="BI52" s="280">
        <f>IF(AC52&gt;0,Standing!$C$26*0.5,0)</f>
        <v>0</v>
      </c>
      <c r="BJ52" s="281">
        <f>IF(AC52&gt;0,Standing!$C$26*0.5,0)</f>
        <v>0</v>
      </c>
      <c r="BK52" s="282">
        <f>IF(AC52&gt;0,Standing!$C$26*0.5,0)</f>
        <v>0</v>
      </c>
      <c r="BL52" s="283">
        <f>IF(AC52&gt;0,Standing!$C$32*0.66,0)</f>
        <v>0</v>
      </c>
      <c r="BM52" s="281">
        <f>IF(AC52&gt;0,Standing!$C$32*0.85,0)</f>
        <v>0</v>
      </c>
      <c r="BN52" s="284">
        <f t="shared" si="9"/>
        <v>0</v>
      </c>
      <c r="BO52" s="282">
        <f>IF(AC52&gt;0,Standing!$C$32*0.5,0)</f>
        <v>0</v>
      </c>
      <c r="BP52" s="280">
        <f>IF(AC52&gt;0,Standing!$C$32*0.5,0)</f>
        <v>0</v>
      </c>
      <c r="BQ52" s="281">
        <f>IF(AC52&gt;0,Standing!$C$32*0.66,0)</f>
        <v>0</v>
      </c>
      <c r="BR52" s="282">
        <f>IF(AC52&gt;0,Standing!$C$32*0.33,0)</f>
        <v>0</v>
      </c>
      <c r="BS52" s="283">
        <f>IF(AC52&gt;0,Standing!$C$32*0.33,0)</f>
        <v>0</v>
      </c>
      <c r="BT52" s="284">
        <f>IF(AC52&gt;0,Standing!$C$32*0.3,0)</f>
        <v>0</v>
      </c>
      <c r="BU52" s="280">
        <f>IF(AC52&gt;0,Standing!$C$36*0.9,0)</f>
        <v>0</v>
      </c>
      <c r="BV52" s="281">
        <f>IF(AC52&gt;0,Standing!$C$36*0.45,0)</f>
        <v>0</v>
      </c>
      <c r="BW52" s="282">
        <f>IF(AC52&gt;0,Standing!$C$126*0.75,0)</f>
        <v>0</v>
      </c>
      <c r="BX52" s="283">
        <f>IF(AC52&gt;0,Standing!$C$126*0.66,0)</f>
        <v>0</v>
      </c>
      <c r="BY52" s="284">
        <f>IF(AC52&gt;0,Standing!$C$126*0.66,0)</f>
        <v>0</v>
      </c>
      <c r="BZ52" s="280">
        <f>IF(AC52&gt;0,Standing!$C$126*0.375,0)</f>
        <v>0</v>
      </c>
      <c r="CA52" s="281">
        <f>IF(AC52&gt;0,Standing!$C$132,0)</f>
        <v>0</v>
      </c>
      <c r="CB52" s="282">
        <f>IF(AC52&gt;0,Standing!$C$132*0.75,0)</f>
        <v>0</v>
      </c>
      <c r="CC52" s="283">
        <f>IF(AC52&gt;0,Standing!$C$132,0)</f>
        <v>0</v>
      </c>
      <c r="CD52" s="284">
        <f>IF(AC52&gt;0,Standing!$C$132*0.66,0)</f>
        <v>0</v>
      </c>
      <c r="CE52" s="280">
        <f>IF(AC52&gt;0,Standing!$C$132*0.4,0)</f>
        <v>0</v>
      </c>
      <c r="CF52" s="281">
        <f>IF(AC52&gt;0,Standing!$C$132*0.75,0)</f>
        <v>0</v>
      </c>
      <c r="CG52" s="282">
        <f>IF(AC52&gt;0,Standing!$C$132*0.66,0)</f>
        <v>0</v>
      </c>
      <c r="CH52" s="283">
        <f>IF(AC52&gt;0,Standing!$C$132*0.75,0)</f>
        <v>0</v>
      </c>
      <c r="CI52" s="284">
        <f>IF(AC52&gt;0,Standing!$C$132*0.66,0)</f>
        <v>0</v>
      </c>
      <c r="CJ52" s="280">
        <f>IF(AC52&gt;0,Standing!$C$132*0.66,0)</f>
        <v>0</v>
      </c>
      <c r="CK52" s="281">
        <f>IF(AC52&gt;0,Standing!$C$126*0.75,0)</f>
        <v>0</v>
      </c>
      <c r="CL52" s="282">
        <f>IF(AC52&gt;0,Standing!$C$126,0)</f>
        <v>0</v>
      </c>
      <c r="CM52" s="283">
        <f>IF(AC52&gt;0,Standing!$C$126,0)</f>
        <v>0</v>
      </c>
      <c r="CN52" s="284">
        <f>IF(AC52&gt;0,Standing!$C$126*0.66,0)</f>
        <v>0</v>
      </c>
      <c r="CO52" s="280">
        <f>IF(AC52&gt;0,Standing!$C$126*0.4,0)</f>
        <v>0</v>
      </c>
      <c r="CP52" s="281">
        <f>IF(AC52&gt;0,Standing!$C$26*0.25,0)</f>
        <v>0</v>
      </c>
      <c r="CQ52" s="282">
        <f>IF(AC52&gt;0,Standing!$C$26*0.2,0)</f>
        <v>0</v>
      </c>
      <c r="CR52" s="283">
        <f>IF(AC52&gt;0,Standing!$C$26*0.25,0)</f>
        <v>0</v>
      </c>
      <c r="CS52" s="285">
        <f>IF(AC52&gt;0,Standing!$C$26*0.2,0)</f>
        <v>0</v>
      </c>
      <c r="CT52" s="286"/>
      <c r="CU52" s="286" t="s">
        <v>26</v>
      </c>
    </row>
    <row r="53" ht="15.75" customHeight="1">
      <c r="A53" s="51"/>
      <c r="B53" s="296" t="s">
        <v>508</v>
      </c>
      <c r="C53" s="189">
        <f>CP136</f>
        <v>1.944856299</v>
      </c>
      <c r="D53" s="218">
        <f t="shared" si="3"/>
        <v>0.6190655396</v>
      </c>
      <c r="E53" s="190">
        <f t="shared" si="4"/>
        <v>49.39935</v>
      </c>
      <c r="F53" s="122">
        <f t="shared" si="5"/>
        <v>15.72426471</v>
      </c>
      <c r="G53" s="123">
        <f>C53/Introduction!$I$20</f>
        <v>0.02025891978</v>
      </c>
      <c r="H53" s="192">
        <f t="shared" si="6"/>
        <v>0.006448599371</v>
      </c>
      <c r="I53" s="124">
        <f>E53/Introduction!$I$20</f>
        <v>0.5145765625</v>
      </c>
      <c r="J53" s="125">
        <f t="shared" si="7"/>
        <v>0.163794424</v>
      </c>
      <c r="K53" s="51"/>
      <c r="L53" s="51"/>
      <c r="M53" s="51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286"/>
      <c r="AB53" s="286" t="s">
        <v>27</v>
      </c>
      <c r="AC53" s="287">
        <f>IF('Ship Data Imperial'!E54&gt;0,'Ship Data Imperial'!E54,AD53)</f>
        <v>0</v>
      </c>
      <c r="AD53" s="287">
        <f>'Ship Data Metric'!E54*0.03280839895</f>
        <v>0</v>
      </c>
      <c r="AE53" s="284">
        <f>IF(AC53&gt;0,Standing!$C$75*0.45,0)</f>
        <v>0</v>
      </c>
      <c r="AF53" s="280">
        <f>IF(AC53&gt;0,Standing!$C$75*0.33,0)</f>
        <v>0</v>
      </c>
      <c r="AG53" s="281">
        <f>IF(AC53&gt;0,Standing!$C$75*0.2,0)</f>
        <v>0</v>
      </c>
      <c r="AH53" s="282">
        <f>IF(AC53&gt;0,Standing!$C$75*0.5,0)</f>
        <v>0</v>
      </c>
      <c r="AI53" s="283">
        <f>IF(AC53&gt;0,Standing!$C$75*0.2,0)</f>
        <v>0</v>
      </c>
      <c r="AJ53" s="284">
        <f>IF(AC53&gt;0,Standing!$C$75*0.25,0)</f>
        <v>0</v>
      </c>
      <c r="AK53" s="281">
        <f>IF(AC53&gt;0,Standing!$C$81*0.8,0)</f>
        <v>0</v>
      </c>
      <c r="AL53" s="282">
        <f t="shared" si="8"/>
        <v>0</v>
      </c>
      <c r="AM53" s="283">
        <f>IF(AC53&gt;0,Standing!$C$81*0.66,0)</f>
        <v>0</v>
      </c>
      <c r="AN53" s="284">
        <f>IF(AC53&gt;0,Standing!$C$81*0.55,0)</f>
        <v>0</v>
      </c>
      <c r="AO53" s="280">
        <f>IF(AC53&gt;0,Standing!$C$81*0.36,0)</f>
        <v>0</v>
      </c>
      <c r="AP53" s="281">
        <f>IF(AC53&gt;0,Standing!$C$81*0.9,0)</f>
        <v>0</v>
      </c>
      <c r="AQ53" s="282">
        <f>IF(AC53&gt;0,Standing!$C$85*0.9,0)</f>
        <v>0</v>
      </c>
      <c r="AR53" s="283">
        <f>IF(AC53&gt;0,Standing!$C$85*0.5,0)</f>
        <v>0</v>
      </c>
      <c r="AS53" s="284">
        <f>IF(AC53&gt;0,Standing!$C$85*0.66,0)</f>
        <v>0</v>
      </c>
      <c r="AT53" s="280">
        <f>IF(AC53&gt;0,Standing!$C$85*0.66,0)</f>
        <v>0</v>
      </c>
      <c r="AU53" s="281">
        <f>IF(AC53&gt;0,Standing!$C$75*0.25,0)</f>
        <v>0</v>
      </c>
      <c r="AV53" s="282">
        <f>IF(AC53&gt;0,Standing!$C$75*0.12,0)</f>
        <v>0</v>
      </c>
      <c r="AW53" s="283">
        <f>IF(AC53&gt;0,Standing!$C$26*0.4,0)</f>
        <v>0</v>
      </c>
      <c r="AX53" s="284">
        <f>IF(AC53&gt;0,Standing!$C$26*0.4,0)</f>
        <v>0</v>
      </c>
      <c r="AY53" s="280">
        <f>IF(AC53&gt;0,Standing!$C$26*0.2,0)</f>
        <v>0</v>
      </c>
      <c r="AZ53" s="281">
        <f>IF(AC53&gt;0,Standing!$C$26*0.33,0)</f>
        <v>0</v>
      </c>
      <c r="BA53" s="282">
        <f>IF(AC53&gt;0,Standing!$C$26*0.2,0)</f>
        <v>0</v>
      </c>
      <c r="BB53" s="283">
        <f>IF(AC53&gt;0,Standing!$C$26*0.2,0)</f>
        <v>0</v>
      </c>
      <c r="BC53" s="284">
        <f>IF(AC53&gt;0,Standing!$C$32*0.4,0)</f>
        <v>0</v>
      </c>
      <c r="BD53" s="280">
        <f>IF(AC53&gt;0,Standing!$C$32*0.5,0)</f>
        <v>0</v>
      </c>
      <c r="BE53" s="281">
        <f>IF(AC53&gt;0,Standing!$C$32*0.33,0)</f>
        <v>0</v>
      </c>
      <c r="BF53" s="282">
        <f>IF(AC53&gt;0,Standing!$C$32*0.33,0)</f>
        <v>0</v>
      </c>
      <c r="BG53" s="283">
        <f>IF(AC53&gt;0,Standing!$C$32*0.33,0)</f>
        <v>0</v>
      </c>
      <c r="BH53" s="284">
        <f>IF(AC53&gt;0,Standing!$C$32*0.4,0)</f>
        <v>0</v>
      </c>
      <c r="BI53" s="280">
        <f>IF(AC53&gt;0,Standing!$C$26*0.5,0)</f>
        <v>0</v>
      </c>
      <c r="BJ53" s="281">
        <f>IF(AC53&gt;0,Standing!$C$26*0.5,0)</f>
        <v>0</v>
      </c>
      <c r="BK53" s="282">
        <f>IF(AC53&gt;0,Standing!$C$26*0.5,0)</f>
        <v>0</v>
      </c>
      <c r="BL53" s="283">
        <f>IF(AC53&gt;0,Standing!$C$32*0.66,0)</f>
        <v>0</v>
      </c>
      <c r="BM53" s="281">
        <f>IF(AC53&gt;0,Standing!$C$32*0.85,0)</f>
        <v>0</v>
      </c>
      <c r="BN53" s="284">
        <f t="shared" si="9"/>
        <v>0</v>
      </c>
      <c r="BO53" s="282">
        <f>IF(AC53&gt;0,Standing!$C$32*0.45,0)</f>
        <v>0</v>
      </c>
      <c r="BP53" s="280">
        <f>IF(AC53&gt;0,Standing!$C$32*0.66,0)</f>
        <v>0</v>
      </c>
      <c r="BQ53" s="281">
        <f>IF(AC53&gt;0,Standing!$C$32*0.66,0)</f>
        <v>0</v>
      </c>
      <c r="BR53" s="282">
        <f>IF(AC53&gt;0,Standing!$C$32*0.33,0)</f>
        <v>0</v>
      </c>
      <c r="BS53" s="283">
        <f>IF(AC53&gt;0,Standing!$C$32*0.33,0)</f>
        <v>0</v>
      </c>
      <c r="BT53" s="284">
        <f>IF(AC53&gt;0,Standing!$C$32*0.3,0)</f>
        <v>0</v>
      </c>
      <c r="BU53" s="280">
        <f>IF(AC53&gt;0,Standing!$C$36*0.9,0)</f>
        <v>0</v>
      </c>
      <c r="BV53" s="281">
        <f>IF(AC53&gt;0,Standing!$C$36*0.45,0)</f>
        <v>0</v>
      </c>
      <c r="BW53" s="282">
        <f>IF(AC53&gt;0,Standing!$C$126*0.75,0)</f>
        <v>0</v>
      </c>
      <c r="BX53" s="283">
        <f>IF(AC53&gt;0,Standing!$C$126*0.66,0)</f>
        <v>0</v>
      </c>
      <c r="BY53" s="284">
        <f>IF(AC53&gt;0,Standing!$C$126*0.66,0)</f>
        <v>0</v>
      </c>
      <c r="BZ53" s="280">
        <f>IF(AC53&gt;0,Standing!$C$126*0.375,0)</f>
        <v>0</v>
      </c>
      <c r="CA53" s="281">
        <f>IF(AC53&gt;0,Standing!$C$132,0)</f>
        <v>0</v>
      </c>
      <c r="CB53" s="282">
        <f>IF(AC53&gt;0,Standing!$C$132*0.75,0)</f>
        <v>0</v>
      </c>
      <c r="CC53" s="283">
        <f>IF(AC53&gt;0,Standing!$C$132,0)</f>
        <v>0</v>
      </c>
      <c r="CD53" s="284">
        <f>IF(AC53&gt;0,Standing!$C$132*0.66,0)</f>
        <v>0</v>
      </c>
      <c r="CE53" s="280">
        <f>IF(AC53&gt;0,Standing!$C$132*0.5,0)</f>
        <v>0</v>
      </c>
      <c r="CF53" s="281">
        <f>IF(AC53&gt;0,Standing!$C$132*0.75,0)</f>
        <v>0</v>
      </c>
      <c r="CG53" s="282">
        <f>IF(AC53&gt;0,Standing!$C$132*0.66,0)</f>
        <v>0</v>
      </c>
      <c r="CH53" s="283">
        <f>IF(AC53&gt;0,Standing!$C$132*0.75,0)</f>
        <v>0</v>
      </c>
      <c r="CI53" s="284">
        <f>IF(AC53&gt;0,Standing!$C$132*0.66,0)</f>
        <v>0</v>
      </c>
      <c r="CJ53" s="280">
        <f>IF(AC53&gt;0,Standing!$C$132*0.66,0)</f>
        <v>0</v>
      </c>
      <c r="CK53" s="281">
        <f>IF(AC53&gt;0,Standing!$C$126*0.75,0)</f>
        <v>0</v>
      </c>
      <c r="CL53" s="282">
        <f>IF(AC53&gt;0,Standing!$C$126,0)</f>
        <v>0</v>
      </c>
      <c r="CM53" s="283">
        <f>IF(AC53&gt;0,Standing!$C$126,0)</f>
        <v>0</v>
      </c>
      <c r="CN53" s="284">
        <f>IF(AC53&gt;0,Standing!$C$126*0.66,0)</f>
        <v>0</v>
      </c>
      <c r="CO53" s="280">
        <f>IF(AC53&gt;0,Standing!$C$126*0.4,0)</f>
        <v>0</v>
      </c>
      <c r="CP53" s="281">
        <f>IF(AC53&gt;0,Standing!$C$26*0.33,0)</f>
        <v>0</v>
      </c>
      <c r="CQ53" s="282">
        <f>IF(AC53&gt;0,Standing!$C$26*0.2,0)</f>
        <v>0</v>
      </c>
      <c r="CR53" s="283">
        <f>IF(AC53&gt;0,Standing!$C$26*0.25,0)</f>
        <v>0</v>
      </c>
      <c r="CS53" s="285">
        <f>IF(AC53&gt;0,Standing!$C$26*0.2,0)</f>
        <v>0</v>
      </c>
      <c r="CT53" s="286"/>
      <c r="CU53" s="286" t="s">
        <v>27</v>
      </c>
    </row>
    <row r="54" ht="15.75" customHeight="1">
      <c r="A54" s="51"/>
      <c r="B54" s="296" t="s">
        <v>509</v>
      </c>
      <c r="C54" s="189">
        <f>Standing!$C$26*0.25</f>
        <v>1.473375984</v>
      </c>
      <c r="D54" s="218">
        <f t="shared" si="3"/>
        <v>0.4689890452</v>
      </c>
      <c r="E54" s="190">
        <f t="shared" si="4"/>
        <v>37.42375</v>
      </c>
      <c r="F54" s="122">
        <f t="shared" si="5"/>
        <v>11.91232175</v>
      </c>
      <c r="G54" s="123">
        <f>C54/Introduction!$I$20</f>
        <v>0.0153476665</v>
      </c>
      <c r="H54" s="192">
        <f t="shared" si="6"/>
        <v>0.004885302554</v>
      </c>
      <c r="I54" s="124">
        <f>E54/Introduction!$I$20</f>
        <v>0.3898307292</v>
      </c>
      <c r="J54" s="125">
        <f t="shared" si="7"/>
        <v>0.1240866849</v>
      </c>
      <c r="K54" s="51"/>
      <c r="L54" s="51"/>
      <c r="M54" s="51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286"/>
      <c r="AB54" s="286" t="s">
        <v>28</v>
      </c>
      <c r="AC54" s="287">
        <f>IF('Ship Data Imperial'!E55&gt;0,'Ship Data Imperial'!E55,AD54)</f>
        <v>0</v>
      </c>
      <c r="AD54" s="287">
        <f>'Ship Data Metric'!E55*0.03280839895</f>
        <v>0</v>
      </c>
      <c r="AE54" s="284">
        <f>IF(AC54&gt;0,Standing!$C$75*0.65,0)</f>
        <v>0</v>
      </c>
      <c r="AF54" s="280">
        <f>IF(AC54&gt;0,Standing!$C$75*0.25,0)</f>
        <v>0</v>
      </c>
      <c r="AG54" s="281">
        <f>IF(AC54&gt;0,Standing!$C$75*0.2,0)</f>
        <v>0</v>
      </c>
      <c r="AH54" s="282">
        <f>IF(AC54&gt;0,Standing!$C$75*0.5,0)</f>
        <v>0</v>
      </c>
      <c r="AI54" s="283">
        <f>IF(AC54&gt;0,Standing!$C$75*0.2,0)</f>
        <v>0</v>
      </c>
      <c r="AJ54" s="284">
        <f>IF(AC54&gt;0,Standing!$C$75*0.25,0)</f>
        <v>0</v>
      </c>
      <c r="AK54" s="281">
        <f>IF(AC54&gt;0,Standing!$C$81*0.8,0)</f>
        <v>0</v>
      </c>
      <c r="AL54" s="282">
        <f t="shared" si="8"/>
        <v>0</v>
      </c>
      <c r="AM54" s="283">
        <f>IF(AC54&gt;0,Standing!$C$81*0.66,0)</f>
        <v>0</v>
      </c>
      <c r="AN54" s="284">
        <f>IF(AC54&gt;0,Standing!$C$81*0.55,0)</f>
        <v>0</v>
      </c>
      <c r="AO54" s="280">
        <f>IF(AC54&gt;0,Standing!$C$81*0.36,0)</f>
        <v>0</v>
      </c>
      <c r="AP54" s="281">
        <f>IF(AC54&gt;0,Standing!$C$81*0.9,0)</f>
        <v>0</v>
      </c>
      <c r="AQ54" s="282">
        <f>IF(AC54&gt;0,Standing!$C$85*0.9,0)</f>
        <v>0</v>
      </c>
      <c r="AR54" s="283">
        <f>IF(AC54&gt;0,Standing!$C$85*0.5,0)</f>
        <v>0</v>
      </c>
      <c r="AS54" s="284">
        <f>IF(AC54&gt;0,Standing!$C$85*0.66,0)</f>
        <v>0</v>
      </c>
      <c r="AT54" s="280">
        <f>IF(AC54&gt;0,Standing!$C$85*0.66,0)</f>
        <v>0</v>
      </c>
      <c r="AU54" s="281">
        <f>IF(AC54&gt;0,Standing!$C$75*0.25,0)</f>
        <v>0</v>
      </c>
      <c r="AV54" s="282">
        <f>IF(AC54&gt;0,Standing!$C$75*0.12,0)</f>
        <v>0</v>
      </c>
      <c r="AW54" s="283">
        <f>IF(AC54&gt;0,Standing!$C$26*0.4,0)</f>
        <v>0</v>
      </c>
      <c r="AX54" s="284">
        <f>IF(AC54&gt;0,Standing!$C$26*0.4,0)</f>
        <v>0</v>
      </c>
      <c r="AY54" s="280">
        <f>IF(AC54&gt;0,Standing!$C$26*0.2,0)</f>
        <v>0</v>
      </c>
      <c r="AZ54" s="281">
        <f>IF(AC54&gt;0,Standing!$C$26*0.33,0)</f>
        <v>0</v>
      </c>
      <c r="BA54" s="282">
        <f>IF(AC54&gt;0,Standing!$C$26*0.2,0)</f>
        <v>0</v>
      </c>
      <c r="BB54" s="283">
        <f>IF(AC54&gt;0,Standing!$C$26*0.2,0)</f>
        <v>0</v>
      </c>
      <c r="BC54" s="284">
        <f>IF(AC54&gt;0,Standing!$C$32*0.4,0)</f>
        <v>0</v>
      </c>
      <c r="BD54" s="280">
        <f>IF(AC54&gt;0,Standing!$C$32*0.5,0)</f>
        <v>0</v>
      </c>
      <c r="BE54" s="281">
        <f>IF(AC54&gt;0,Standing!$C$32*0.33,0)</f>
        <v>0</v>
      </c>
      <c r="BF54" s="282">
        <f>IF(AC54&gt;0,Standing!$C$32*0.33,0)</f>
        <v>0</v>
      </c>
      <c r="BG54" s="283">
        <f>IF(AC54&gt;0,Standing!$C$32*0.33,0)</f>
        <v>0</v>
      </c>
      <c r="BH54" s="284">
        <f>IF(AC54&gt;0,Standing!$C$32*0.4,0)</f>
        <v>0</v>
      </c>
      <c r="BI54" s="280">
        <f>IF(AC54&gt;0,Standing!$C$26*0.75,0)</f>
        <v>0</v>
      </c>
      <c r="BJ54" s="281">
        <f>IF(AC54&gt;0,Standing!$C$26*0.5,0)</f>
        <v>0</v>
      </c>
      <c r="BK54" s="282">
        <f>IF(AC54&gt;0,Standing!$C$26*0.5,0)</f>
        <v>0</v>
      </c>
      <c r="BL54" s="283">
        <f>IF(AC54&gt;0,Standing!$C$32*0.66,0)</f>
        <v>0</v>
      </c>
      <c r="BM54" s="281">
        <f>IF(AC54&gt;0,Standing!$C$32*0.85,0)</f>
        <v>0</v>
      </c>
      <c r="BN54" s="284">
        <f t="shared" si="9"/>
        <v>0</v>
      </c>
      <c r="BO54" s="282">
        <f>IF(AC54&gt;0,Standing!$C$32*0.45,0)</f>
        <v>0</v>
      </c>
      <c r="BP54" s="280">
        <f>IF(AC54&gt;0,Standing!$C$32*0.66,0)</f>
        <v>0</v>
      </c>
      <c r="BQ54" s="281">
        <f>IF(AC54&gt;0,Standing!$C$32*0.66,0)</f>
        <v>0</v>
      </c>
      <c r="BR54" s="282">
        <f>IF(AC54&gt;0,Standing!$C$32*0.33,0)</f>
        <v>0</v>
      </c>
      <c r="BS54" s="283">
        <f>IF(AC54&gt;0,Standing!$C$32*0.33,0)</f>
        <v>0</v>
      </c>
      <c r="BT54" s="284">
        <f>IF(AC54&gt;0,Standing!$C$32*0.3,0)</f>
        <v>0</v>
      </c>
      <c r="BU54" s="280">
        <f>IF(AC54&gt;0,Standing!$C$36*0.9,0)</f>
        <v>0</v>
      </c>
      <c r="BV54" s="281">
        <f>IF(AC54&gt;0,Standing!$C$36*0.45,0)</f>
        <v>0</v>
      </c>
      <c r="BW54" s="282">
        <f>IF(AC54&gt;0,Standing!$C$126*0.75,0)</f>
        <v>0</v>
      </c>
      <c r="BX54" s="283">
        <f>IF(AC54&gt;0,Standing!$C$126*0.66,0)</f>
        <v>0</v>
      </c>
      <c r="BY54" s="284">
        <f>IF(AC54&gt;0,Standing!$C$126*0.66,0)</f>
        <v>0</v>
      </c>
      <c r="BZ54" s="280">
        <f>IF(AC54&gt;0,Standing!$C$126*0.375,0)</f>
        <v>0</v>
      </c>
      <c r="CA54" s="281">
        <f>IF(AC54&gt;0,Standing!$C$132,0)</f>
        <v>0</v>
      </c>
      <c r="CB54" s="282">
        <f>IF(AC54&gt;0,Standing!$C$132*0.75,0)</f>
        <v>0</v>
      </c>
      <c r="CC54" s="283">
        <f>IF(AC54&gt;0,Standing!$C$132,0)</f>
        <v>0</v>
      </c>
      <c r="CD54" s="284">
        <f>IF(AC54&gt;0,Standing!$C$132*0.66,0)</f>
        <v>0</v>
      </c>
      <c r="CE54" s="280">
        <f>IF(AC54&gt;0,Standing!$C$132*0.5,0)</f>
        <v>0</v>
      </c>
      <c r="CF54" s="281">
        <f>IF(AC54&gt;0,Standing!$C$132*0.75,0)</f>
        <v>0</v>
      </c>
      <c r="CG54" s="282">
        <f>IF(AC54&gt;0,Standing!$C$132*0.66,0)</f>
        <v>0</v>
      </c>
      <c r="CH54" s="283">
        <f>IF(AC54&gt;0,Standing!$C$132*0.75,0)</f>
        <v>0</v>
      </c>
      <c r="CI54" s="284">
        <f>IF(AC54&gt;0,Standing!$C$132*0.66,0)</f>
        <v>0</v>
      </c>
      <c r="CJ54" s="280">
        <f>IF(AC54&gt;0,Standing!$C$132*0.66,0)</f>
        <v>0</v>
      </c>
      <c r="CK54" s="281">
        <f>IF(AC54&gt;0,Standing!$C$126*0.75,0)</f>
        <v>0</v>
      </c>
      <c r="CL54" s="282">
        <f>IF(AC54&gt;0,Standing!$C$126,0)</f>
        <v>0</v>
      </c>
      <c r="CM54" s="283">
        <f>IF(AC54&gt;0,Standing!$C$126,0)</f>
        <v>0</v>
      </c>
      <c r="CN54" s="284">
        <f>IF(AC54&gt;0,Standing!$C$126*0.66,0)</f>
        <v>0</v>
      </c>
      <c r="CO54" s="280">
        <f>IF(AC54&gt;0,Standing!$C$126*0.4,0)</f>
        <v>0</v>
      </c>
      <c r="CP54" s="281">
        <f>IF(AC54&gt;0,Standing!$C$26*0.33,0)</f>
        <v>0</v>
      </c>
      <c r="CQ54" s="282">
        <f>IF(AC54&gt;0,Standing!$C$26*0.2,0)</f>
        <v>0</v>
      </c>
      <c r="CR54" s="283">
        <f>IF(AC54&gt;0,Standing!$C$26*0.25,0)</f>
        <v>0</v>
      </c>
      <c r="CS54" s="285">
        <f>IF(AC54&gt;0,Standing!$C$26*0.2,0)</f>
        <v>0</v>
      </c>
      <c r="CT54" s="286"/>
      <c r="CU54" s="286" t="s">
        <v>28</v>
      </c>
    </row>
    <row r="55" ht="15.75" customHeight="1">
      <c r="A55" s="51"/>
      <c r="B55" s="296" t="s">
        <v>510</v>
      </c>
      <c r="C55" s="189">
        <f>Standing!C26*0.33</f>
        <v>1.944856299</v>
      </c>
      <c r="D55" s="218">
        <f t="shared" si="3"/>
        <v>0.6190655396</v>
      </c>
      <c r="E55" s="190">
        <f t="shared" si="4"/>
        <v>49.39935</v>
      </c>
      <c r="F55" s="122">
        <f t="shared" si="5"/>
        <v>15.72426471</v>
      </c>
      <c r="G55" s="123">
        <f>C55/Introduction!$I$20</f>
        <v>0.02025891978</v>
      </c>
      <c r="H55" s="192">
        <f t="shared" si="6"/>
        <v>0.006448599371</v>
      </c>
      <c r="I55" s="124">
        <f>E55/Introduction!$I$20</f>
        <v>0.5145765625</v>
      </c>
      <c r="J55" s="125">
        <f t="shared" si="7"/>
        <v>0.163794424</v>
      </c>
      <c r="K55" s="51"/>
      <c r="L55" s="51"/>
      <c r="M55" s="51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286"/>
      <c r="AB55" s="286" t="s">
        <v>29</v>
      </c>
      <c r="AC55" s="287">
        <f>IF('Ship Data Imperial'!E56&gt;0,'Ship Data Imperial'!E56,AD55)</f>
        <v>0</v>
      </c>
      <c r="AD55" s="287">
        <f>'Ship Data Metric'!E56*0.03280839895</f>
        <v>0</v>
      </c>
      <c r="AE55" s="284">
        <f>IF(AC55&gt;0,Standing!$C$75*0.65,0)</f>
        <v>0</v>
      </c>
      <c r="AF55" s="280">
        <f>IF(AC55&gt;0,Standing!$C$75*0.25,0)</f>
        <v>0</v>
      </c>
      <c r="AG55" s="281">
        <f>IF(AC55&gt;0,Standing!$C$75*0.2,0)</f>
        <v>0</v>
      </c>
      <c r="AH55" s="282">
        <f>IF(AC55&gt;0,Standing!$C$75*0.5,0)</f>
        <v>0</v>
      </c>
      <c r="AI55" s="283">
        <f>IF(AC55&gt;0,Standing!$C$75*0.2,0)</f>
        <v>0</v>
      </c>
      <c r="AJ55" s="284">
        <f>IF(AC55&gt;0,Standing!$C$75*0.25,0)</f>
        <v>0</v>
      </c>
      <c r="AK55" s="281">
        <f>IF(AC55&gt;0,Standing!$C$81*0.8,0)</f>
        <v>0</v>
      </c>
      <c r="AL55" s="282">
        <f t="shared" si="8"/>
        <v>0</v>
      </c>
      <c r="AM55" s="283">
        <f>IF(AC55&gt;0,Standing!$C$81*0.66,0)</f>
        <v>0</v>
      </c>
      <c r="AN55" s="284">
        <f>IF(AC55&gt;0,Standing!$C$81*0.55,0)</f>
        <v>0</v>
      </c>
      <c r="AO55" s="280">
        <f>IF(AC55&gt;0,Standing!$C$81*0.36,0)</f>
        <v>0</v>
      </c>
      <c r="AP55" s="281">
        <f>IF(AC55&gt;0,Standing!$C$81*0.9,0)</f>
        <v>0</v>
      </c>
      <c r="AQ55" s="282">
        <f>IF(AC55&gt;0,Standing!$C$85*0.9,0)</f>
        <v>0</v>
      </c>
      <c r="AR55" s="283">
        <f>IF(AC55&gt;0,Standing!$C$85*0.5,0)</f>
        <v>0</v>
      </c>
      <c r="AS55" s="284">
        <f>IF(AC55&gt;0,Standing!$C$85*0.66,0)</f>
        <v>0</v>
      </c>
      <c r="AT55" s="280">
        <f>IF(AC55&gt;0,Standing!$C$85*0.66,0)</f>
        <v>0</v>
      </c>
      <c r="AU55" s="281">
        <f>IF(AC55&gt;0,Standing!$C$75*0.25,0)</f>
        <v>0</v>
      </c>
      <c r="AV55" s="282">
        <f>IF(AC55&gt;0,Standing!$C$75*0.12,0)</f>
        <v>0</v>
      </c>
      <c r="AW55" s="283">
        <f>IF(AC55&gt;0,Standing!$C$26*0.4,0)</f>
        <v>0</v>
      </c>
      <c r="AX55" s="284">
        <f>IF(AC55&gt;0,Standing!$C$26*0.4,0)</f>
        <v>0</v>
      </c>
      <c r="AY55" s="280">
        <f>IF(AC55&gt;0,Standing!$C$26*0.2,0)</f>
        <v>0</v>
      </c>
      <c r="AZ55" s="281">
        <f>IF(AC55&gt;0,Standing!$C$26*0.33,0)</f>
        <v>0</v>
      </c>
      <c r="BA55" s="282">
        <f>IF(AC55&gt;0,Standing!$C$26*0.2,0)</f>
        <v>0</v>
      </c>
      <c r="BB55" s="283">
        <f>IF(AC55&gt;0,Standing!$C$26*0.2,0)</f>
        <v>0</v>
      </c>
      <c r="BC55" s="284">
        <f>IF(AC55&gt;0,Standing!$C$32*0.4,0)</f>
        <v>0</v>
      </c>
      <c r="BD55" s="280">
        <f>IF(AC55&gt;0,Standing!$C$32*0.5,0)</f>
        <v>0</v>
      </c>
      <c r="BE55" s="281">
        <f>IF(AC55&gt;0,Standing!$C$32*0.33,0)</f>
        <v>0</v>
      </c>
      <c r="BF55" s="282">
        <f>IF(AC55&gt;0,Standing!$C$32*0.33,0)</f>
        <v>0</v>
      </c>
      <c r="BG55" s="283">
        <f>IF(AC55&gt;0,Standing!$C$32*0.33,0)</f>
        <v>0</v>
      </c>
      <c r="BH55" s="284">
        <f>IF(AC55&gt;0,Standing!$C$32*0.4,0)</f>
        <v>0</v>
      </c>
      <c r="BI55" s="280">
        <f>IF(AC55&gt;0,Standing!$C$26*0.75,0)</f>
        <v>0</v>
      </c>
      <c r="BJ55" s="281">
        <f>IF(AC55&gt;0,Standing!$C$26*0.5,0)</f>
        <v>0</v>
      </c>
      <c r="BK55" s="282">
        <f>IF(AC55&gt;0,Standing!$C$26*0.5,0)</f>
        <v>0</v>
      </c>
      <c r="BL55" s="283">
        <f>IF(AC55&gt;0,Standing!$C$32*0.66,0)</f>
        <v>0</v>
      </c>
      <c r="BM55" s="281">
        <f>IF(AC55&gt;0,Standing!$C$32*0.85,0)</f>
        <v>0</v>
      </c>
      <c r="BN55" s="284">
        <f t="shared" si="9"/>
        <v>0</v>
      </c>
      <c r="BO55" s="282">
        <f>IF(AC55&gt;0,Standing!$C$32*0.45,0)</f>
        <v>0</v>
      </c>
      <c r="BP55" s="280">
        <f>IF(AC55&gt;0,Standing!$C$32*0.66,0)</f>
        <v>0</v>
      </c>
      <c r="BQ55" s="281">
        <f>IF(AC55&gt;0,Standing!$C$32*0.66,0)</f>
        <v>0</v>
      </c>
      <c r="BR55" s="282">
        <f>IF(AC55&gt;0,Standing!$C$32*0.33,0)</f>
        <v>0</v>
      </c>
      <c r="BS55" s="283">
        <f>IF(AC55&gt;0,Standing!$C$32*0.375,0)</f>
        <v>0</v>
      </c>
      <c r="BT55" s="284">
        <f>IF(AC55&gt;0,Standing!$C$32*0.3,0)</f>
        <v>0</v>
      </c>
      <c r="BU55" s="280">
        <f>IF(AC55&gt;0,Standing!$C$36*0.9,0)</f>
        <v>0</v>
      </c>
      <c r="BV55" s="281">
        <f>IF(AC55&gt;0,Standing!$C$36*0.45,0)</f>
        <v>0</v>
      </c>
      <c r="BW55" s="282">
        <f>IF(AC55&gt;0,Standing!$C$126*0.75,0)</f>
        <v>0</v>
      </c>
      <c r="BX55" s="283">
        <f>IF(AC55&gt;0,Standing!$C$126*0.66,0)</f>
        <v>0</v>
      </c>
      <c r="BY55" s="284">
        <f>IF(AC55&gt;0,Standing!$C$126*0.66,0)</f>
        <v>0</v>
      </c>
      <c r="BZ55" s="280">
        <f>IF(AC55&gt;0,Standing!$C$126*0.375,0)</f>
        <v>0</v>
      </c>
      <c r="CA55" s="281">
        <f>IF(AC55&gt;0,Standing!$C$132,0)</f>
        <v>0</v>
      </c>
      <c r="CB55" s="282">
        <f>IF(AC55&gt;0,Standing!$C$132*0.75,0)</f>
        <v>0</v>
      </c>
      <c r="CC55" s="283">
        <f>IF(AC55&gt;0,Standing!$C$132,0)</f>
        <v>0</v>
      </c>
      <c r="CD55" s="284">
        <f>IF(AC55&gt;0,Standing!$C$132*0.66,0)</f>
        <v>0</v>
      </c>
      <c r="CE55" s="280">
        <f>IF(AC55&gt;0,Standing!$C$132*0.5,0)</f>
        <v>0</v>
      </c>
      <c r="CF55" s="281">
        <f>IF(AC55&gt;0,Standing!$C$132*0.75,0)</f>
        <v>0</v>
      </c>
      <c r="CG55" s="282">
        <f>IF(AC55&gt;0,Standing!$C$132*0.66,0)</f>
        <v>0</v>
      </c>
      <c r="CH55" s="283">
        <f>IF(AC55&gt;0,Standing!$C$132*0.75,0)</f>
        <v>0</v>
      </c>
      <c r="CI55" s="284">
        <f>IF(AC55&gt;0,Standing!$C$132*0.66,0)</f>
        <v>0</v>
      </c>
      <c r="CJ55" s="280">
        <f>IF(AC55&gt;0,Standing!$C$132*0.66,0)</f>
        <v>0</v>
      </c>
      <c r="CK55" s="281">
        <f>IF(AC55&gt;0,Standing!$C$126*0.75,0)</f>
        <v>0</v>
      </c>
      <c r="CL55" s="282">
        <f>IF(AC55&gt;0,Standing!$C$126,0)</f>
        <v>0</v>
      </c>
      <c r="CM55" s="283">
        <f>IF(AC55&gt;0,Standing!$C$126,0)</f>
        <v>0</v>
      </c>
      <c r="CN55" s="284">
        <f>IF(AC55&gt;0,Standing!$C$126*0.66,0)</f>
        <v>0</v>
      </c>
      <c r="CO55" s="280">
        <f>IF(AC55&gt;0,Standing!$C$126*0.4,0)</f>
        <v>0</v>
      </c>
      <c r="CP55" s="281">
        <f>IF(AC55&gt;0,Standing!$C$26*0.33,0)</f>
        <v>0</v>
      </c>
      <c r="CQ55" s="282">
        <f>IF(AC55&gt;0,Standing!$C$26*0.2,0)</f>
        <v>0</v>
      </c>
      <c r="CR55" s="283">
        <f>IF(AC55&gt;0,Standing!$C$26*0.25,0)</f>
        <v>0</v>
      </c>
      <c r="CS55" s="285">
        <f>IF(AC55&gt;0,Standing!$C$26*0.2,0)</f>
        <v>0</v>
      </c>
      <c r="CT55" s="286"/>
      <c r="CU55" s="286" t="s">
        <v>29</v>
      </c>
    </row>
    <row r="56" ht="15.75" customHeight="1">
      <c r="A56" s="51"/>
      <c r="B56" s="296" t="s">
        <v>511</v>
      </c>
      <c r="C56" s="189">
        <f>Standing!C26*0.2</f>
        <v>1.178700787</v>
      </c>
      <c r="D56" s="218">
        <f t="shared" si="3"/>
        <v>0.3751912361</v>
      </c>
      <c r="E56" s="190">
        <f t="shared" si="4"/>
        <v>29.939</v>
      </c>
      <c r="F56" s="122">
        <f t="shared" si="5"/>
        <v>9.529857397</v>
      </c>
      <c r="G56" s="123">
        <f>C56/Introduction!$I$20</f>
        <v>0.0122781332</v>
      </c>
      <c r="H56" s="192">
        <f t="shared" si="6"/>
        <v>0.003908242043</v>
      </c>
      <c r="I56" s="124">
        <f>E56/Introduction!$I$20</f>
        <v>0.3118645833</v>
      </c>
      <c r="J56" s="125">
        <f t="shared" si="7"/>
        <v>0.09926934789</v>
      </c>
      <c r="K56" s="51"/>
      <c r="L56" s="51"/>
      <c r="M56" s="51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286" t="s">
        <v>38</v>
      </c>
      <c r="AB56" s="286" t="s">
        <v>24</v>
      </c>
      <c r="AC56" s="287">
        <f>IF('Ship Data Imperial'!E57&gt;0,'Ship Data Imperial'!E57,AD56)</f>
        <v>0</v>
      </c>
      <c r="AD56" s="287">
        <f>'Ship Data Metric'!E57*0.03280839895</f>
        <v>0</v>
      </c>
      <c r="AE56" s="284">
        <f>IF(AC56&gt;0,Standing!$C$75*0.45,0)</f>
        <v>0</v>
      </c>
      <c r="AF56" s="280">
        <f>IF(AC56&gt;0,Standing!$C$75*0.25,0)</f>
        <v>0</v>
      </c>
      <c r="AG56" s="281">
        <f>IF(AC56&gt;0,Standing!$C$75*0.165,0)</f>
        <v>0</v>
      </c>
      <c r="AH56" s="282">
        <f>IF(AC56&gt;0,Standing!$C$75*0.5,0)</f>
        <v>0</v>
      </c>
      <c r="AI56" s="283">
        <f>IF(AC56&gt;0,Standing!$C$75*0.16,0)</f>
        <v>0</v>
      </c>
      <c r="AJ56" s="284">
        <f>IF(AC56&gt;0,Standing!$C$75*0.2,0)</f>
        <v>0</v>
      </c>
      <c r="AK56" s="281">
        <f>IF(AC56&gt;0,Standing!$C$81*0.66,0)</f>
        <v>0</v>
      </c>
      <c r="AL56" s="282">
        <f t="shared" si="8"/>
        <v>0</v>
      </c>
      <c r="AM56" s="283">
        <f>IF(AC56&gt;0,Standing!$C$81*0.5,0)</f>
        <v>0</v>
      </c>
      <c r="AN56" s="284">
        <f>IF(AC56&gt;0,Standing!$C$81*0.55,0)</f>
        <v>0</v>
      </c>
      <c r="AO56" s="280">
        <f>IF(AC56&gt;0,Standing!$C$81*0.36,0)</f>
        <v>0</v>
      </c>
      <c r="AP56" s="281">
        <f>IF(AC56&gt;0,Standing!$C$81,0)</f>
        <v>0</v>
      </c>
      <c r="AQ56" s="282">
        <f>IF(AC56&gt;0,Standing!$C$85*0.9,0)</f>
        <v>0</v>
      </c>
      <c r="AR56" s="283">
        <f>IF(AC56&gt;0,Standing!$C$85*0.5,0)</f>
        <v>0</v>
      </c>
      <c r="AS56" s="284">
        <f>IF(AC56&gt;0,Standing!$C$85*0.66,0)</f>
        <v>0</v>
      </c>
      <c r="AT56" s="280">
        <f>IF(AC56&gt;0,Standing!$C$85*0.66,0)</f>
        <v>0</v>
      </c>
      <c r="AU56" s="281">
        <f>IF(AC56&gt;0,Standing!$C$75*0.2,0)</f>
        <v>0</v>
      </c>
      <c r="AV56" s="282">
        <f>IF(AC56&gt;0,Standing!$C$75*0.12,0)</f>
        <v>0</v>
      </c>
      <c r="AW56" s="283">
        <f>IF(AC56&gt;0,Standing!$C$26*0.4,0)</f>
        <v>0</v>
      </c>
      <c r="AX56" s="284">
        <f>IF(AC56&gt;0,Standing!$C$26*0.4,0)</f>
        <v>0</v>
      </c>
      <c r="AY56" s="280">
        <f>IF(AC56&gt;0,Standing!$C$26*0.2,0)</f>
        <v>0</v>
      </c>
      <c r="AZ56" s="281">
        <f>IF(AC56&gt;0,Standing!$C$26*0.33,0)</f>
        <v>0</v>
      </c>
      <c r="BA56" s="282">
        <f>IF(AC56&gt;0,Standing!$C$26*0.2,0)</f>
        <v>0</v>
      </c>
      <c r="BB56" s="283">
        <f>IF(AC56&gt;0,Standing!$C$26*0.2,0)</f>
        <v>0</v>
      </c>
      <c r="BC56" s="284">
        <f>IF(AC56&gt;0,Standing!$C$32*0.4,0)</f>
        <v>0</v>
      </c>
      <c r="BD56" s="280">
        <f>IF(AC56&gt;0,Standing!$C$32*0.5,0)</f>
        <v>0</v>
      </c>
      <c r="BE56" s="281">
        <f>IF(AC56&gt;0,Standing!$C$32*0.33,0)</f>
        <v>0</v>
      </c>
      <c r="BF56" s="282">
        <f>IF(AC56&gt;0,Standing!$C$32*0.33,0)</f>
        <v>0</v>
      </c>
      <c r="BG56" s="283">
        <f>IF(AC56&gt;0,Standing!$C$32*0.33,0)</f>
        <v>0</v>
      </c>
      <c r="BH56" s="284">
        <f>IF(AC56&gt;0,Standing!$C$32*0.33,0)</f>
        <v>0</v>
      </c>
      <c r="BI56" s="280">
        <f>IF(AC56&gt;0,Standing!$C$26*0.5,0)</f>
        <v>0</v>
      </c>
      <c r="BJ56" s="281">
        <f>IF(AC56&gt;0,Standing!$C$26*0.5,0)</f>
        <v>0</v>
      </c>
      <c r="BK56" s="282">
        <f>IF(AC56&gt;0,Standing!$C$26*0.5,0)</f>
        <v>0</v>
      </c>
      <c r="BL56" s="283">
        <f>IF(AC56&gt;0,Standing!$C$32*0.66,0)</f>
        <v>0</v>
      </c>
      <c r="BM56" s="281">
        <f>IF(AC56&gt;0,Standing!$C$32*0.9,0)</f>
        <v>0</v>
      </c>
      <c r="BN56" s="284">
        <f t="shared" si="9"/>
        <v>0</v>
      </c>
      <c r="BO56" s="282">
        <f>IF(AC56&gt;0,Standing!$C$32*0.5,0)</f>
        <v>0</v>
      </c>
      <c r="BP56" s="280">
        <f>IF(AC56&gt;0,Standing!$C$32*0.5,0)</f>
        <v>0</v>
      </c>
      <c r="BQ56" s="281">
        <f>IF(AC56&gt;0,Standing!$C$32*0.66,0)</f>
        <v>0</v>
      </c>
      <c r="BR56" s="282">
        <f>IF(AC56&gt;0,Standing!$C$32*0.33,0)</f>
        <v>0</v>
      </c>
      <c r="BS56" s="283">
        <f>IF(AC56&gt;0,Standing!$C$32*0.33,0)</f>
        <v>0</v>
      </c>
      <c r="BT56" s="284">
        <f>IF(AC56&gt;0,Standing!$C$32*0.3,0)</f>
        <v>0</v>
      </c>
      <c r="BU56" s="280">
        <f>IF(AC56&gt;0,Standing!$C$36*0.9,0)</f>
        <v>0</v>
      </c>
      <c r="BV56" s="281">
        <f>IF(AC56&gt;0,Standing!$C$36*0.45,0)</f>
        <v>0</v>
      </c>
      <c r="BW56" s="282">
        <f>IF(AC56&gt;0,Standing!$C$126*0.75,0)</f>
        <v>0</v>
      </c>
      <c r="BX56" s="283">
        <f>IF(AC56&gt;0,Standing!$C$126*0.66,0)</f>
        <v>0</v>
      </c>
      <c r="BY56" s="284">
        <f>IF(AC56&gt;0,Standing!$C$126*0.66,0)</f>
        <v>0</v>
      </c>
      <c r="BZ56" s="280">
        <f>IF(AC56&gt;0,Standing!$C$126*0.375,0)</f>
        <v>0</v>
      </c>
      <c r="CA56" s="281">
        <f>IF(AC56&gt;0,Standing!$C$132,0)</f>
        <v>0</v>
      </c>
      <c r="CB56" s="282">
        <f>IF(AC56&gt;0,Standing!$C$132*0.75,0)</f>
        <v>0</v>
      </c>
      <c r="CC56" s="283">
        <f>IF(AC56&gt;0,Standing!$C$132,0)</f>
        <v>0</v>
      </c>
      <c r="CD56" s="284">
        <f>IF(AC56&gt;0,Standing!$C$132*0.66,0)</f>
        <v>0</v>
      </c>
      <c r="CE56" s="280">
        <f>IF(AC56&gt;0,Standing!$C$132*0.4,0)</f>
        <v>0</v>
      </c>
      <c r="CF56" s="281">
        <f>IF(AC56&gt;0,Standing!$C$132*0.75,0)</f>
        <v>0</v>
      </c>
      <c r="CG56" s="282">
        <f>IF(AC56&gt;0,Standing!$C$132*0.66,0)</f>
        <v>0</v>
      </c>
      <c r="CH56" s="283">
        <f>IF(AC56&gt;0,Standing!$C$132*0.75,0)</f>
        <v>0</v>
      </c>
      <c r="CI56" s="284">
        <f>IF(AC56&gt;0,Standing!$C$132*0.66,0)</f>
        <v>0</v>
      </c>
      <c r="CJ56" s="280">
        <f>IF(AC56&gt;0,Standing!$C$132*0.66,0)</f>
        <v>0</v>
      </c>
      <c r="CK56" s="281">
        <f>IF(AC56&gt;0,Standing!$C$126*0.75,0)</f>
        <v>0</v>
      </c>
      <c r="CL56" s="282">
        <f>IF(AC56&gt;0,Standing!$C$126,0)</f>
        <v>0</v>
      </c>
      <c r="CM56" s="283">
        <f>IF(AC56&gt;0,Standing!$C$126,0)</f>
        <v>0</v>
      </c>
      <c r="CN56" s="284">
        <f>IF(AC56&gt;0,Standing!$C$126*0.66,0)</f>
        <v>0</v>
      </c>
      <c r="CO56" s="280">
        <f>IF(AC56&gt;0,Standing!$C$126*0.4,0)</f>
        <v>0</v>
      </c>
      <c r="CP56" s="281">
        <f>IF(AC56&gt;0,Standing!$C$26*0.25,0)</f>
        <v>0</v>
      </c>
      <c r="CQ56" s="282">
        <f>IF(AC56&gt;0,Standing!$C$26*0.165,0)</f>
        <v>0</v>
      </c>
      <c r="CR56" s="283">
        <f>IF(AC56&gt;0,Standing!$C$26*0.2,0)</f>
        <v>0</v>
      </c>
      <c r="CS56" s="285">
        <f>IF(AC56&gt;0,Standing!$C$26*0.16,0)</f>
        <v>0</v>
      </c>
      <c r="CT56" s="286" t="s">
        <v>38</v>
      </c>
      <c r="CU56" s="286" t="s">
        <v>24</v>
      </c>
    </row>
    <row r="57" ht="15.75" customHeight="1">
      <c r="A57" s="51"/>
      <c r="B57" s="296" t="s">
        <v>512</v>
      </c>
      <c r="C57" s="189">
        <f>Standing!C26*0.4</f>
        <v>2.357401575</v>
      </c>
      <c r="D57" s="218">
        <f t="shared" si="3"/>
        <v>0.7503824722</v>
      </c>
      <c r="E57" s="190">
        <f t="shared" si="4"/>
        <v>59.878</v>
      </c>
      <c r="F57" s="122">
        <f t="shared" si="5"/>
        <v>19.05971479</v>
      </c>
      <c r="G57" s="123">
        <f>C57/Introduction!$I$20</f>
        <v>0.0245562664</v>
      </c>
      <c r="H57" s="192">
        <f t="shared" si="6"/>
        <v>0.007816484086</v>
      </c>
      <c r="I57" s="124">
        <f>E57/Introduction!$I$20</f>
        <v>0.6237291667</v>
      </c>
      <c r="J57" s="125">
        <f t="shared" si="7"/>
        <v>0.1985386958</v>
      </c>
      <c r="K57" s="51"/>
      <c r="L57" s="51"/>
      <c r="M57" s="51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286"/>
      <c r="AB57" s="286" t="s">
        <v>25</v>
      </c>
      <c r="AC57" s="287">
        <f>IF('Ship Data Imperial'!E58&gt;0,'Ship Data Imperial'!E58,AD57)</f>
        <v>0</v>
      </c>
      <c r="AD57" s="287">
        <f>'Ship Data Metric'!E58*0.03280839895</f>
        <v>0</v>
      </c>
      <c r="AE57" s="284">
        <f>IF(AC57&gt;0,Standing!$C$75*0.45,0)</f>
        <v>0</v>
      </c>
      <c r="AF57" s="280">
        <f>IF(AC57&gt;0,Standing!$C$75*0.25,0)</f>
        <v>0</v>
      </c>
      <c r="AG57" s="281">
        <f>IF(AC57&gt;0,Standing!$C$75*0.165,0)</f>
        <v>0</v>
      </c>
      <c r="AH57" s="282">
        <f>IF(AC57&gt;0,Standing!$C$75*0.5,0)</f>
        <v>0</v>
      </c>
      <c r="AI57" s="283">
        <f>IF(AC57&gt;0,Standing!$C$75*0.16,0)</f>
        <v>0</v>
      </c>
      <c r="AJ57" s="284">
        <f>IF(AC57&gt;0,Standing!$C$75*0.2,0)</f>
        <v>0</v>
      </c>
      <c r="AK57" s="281">
        <f>IF(AC57&gt;0,Standing!$C$81*0.66,0)</f>
        <v>0</v>
      </c>
      <c r="AL57" s="282">
        <f t="shared" si="8"/>
        <v>0</v>
      </c>
      <c r="AM57" s="283">
        <f>IF(AC57&gt;0,Standing!$C$81*0.5,0)</f>
        <v>0</v>
      </c>
      <c r="AN57" s="284">
        <f>IF(AC57&gt;0,Standing!$C$81*0.55,0)</f>
        <v>0</v>
      </c>
      <c r="AO57" s="280">
        <f>IF(AC57&gt;0,Standing!$C$81*0.36,0)</f>
        <v>0</v>
      </c>
      <c r="AP57" s="281">
        <f>IF(AC57&gt;0,Standing!$C$81,0)</f>
        <v>0</v>
      </c>
      <c r="AQ57" s="282">
        <f>IF(AC57&gt;0,Standing!$C$85*0.9,0)</f>
        <v>0</v>
      </c>
      <c r="AR57" s="283">
        <f>IF(AC57&gt;0,Standing!$C$85*0.5,0)</f>
        <v>0</v>
      </c>
      <c r="AS57" s="284">
        <f>IF(AC57&gt;0,Standing!$C$85*0.66,0)</f>
        <v>0</v>
      </c>
      <c r="AT57" s="280">
        <f>IF(AC57&gt;0,Standing!$C$85*0.66,0)</f>
        <v>0</v>
      </c>
      <c r="AU57" s="281">
        <f>IF(AC57&gt;0,Standing!$C$75*0.2,0)</f>
        <v>0</v>
      </c>
      <c r="AV57" s="282">
        <f>IF(AC57&gt;0,Standing!$C$75*0.12,0)</f>
        <v>0</v>
      </c>
      <c r="AW57" s="283">
        <f>IF(AC57&gt;0,Standing!$C$26*0.4,0)</f>
        <v>0</v>
      </c>
      <c r="AX57" s="284">
        <f>IF(AC57&gt;0,Standing!$C$26*0.4,0)</f>
        <v>0</v>
      </c>
      <c r="AY57" s="280">
        <f>IF(AC57&gt;0,Standing!$C$26*0.2,0)</f>
        <v>0</v>
      </c>
      <c r="AZ57" s="281">
        <f>IF(AC57&gt;0,Standing!$C$26*0.33,0)</f>
        <v>0</v>
      </c>
      <c r="BA57" s="282">
        <f>IF(AC57&gt;0,Standing!$C$26*0.2,0)</f>
        <v>0</v>
      </c>
      <c r="BB57" s="283">
        <f>IF(AC57&gt;0,Standing!$C$26*0.2,0)</f>
        <v>0</v>
      </c>
      <c r="BC57" s="284">
        <f>IF(AC57&gt;0,Standing!$C$32*0.4,0)</f>
        <v>0</v>
      </c>
      <c r="BD57" s="280">
        <f>IF(AC57&gt;0,Standing!$C$32*0.5,0)</f>
        <v>0</v>
      </c>
      <c r="BE57" s="281">
        <f>IF(AC57&gt;0,Standing!$C$32*0.33,0)</f>
        <v>0</v>
      </c>
      <c r="BF57" s="282">
        <f>IF(AC57&gt;0,Standing!$C$32*0.33,0)</f>
        <v>0</v>
      </c>
      <c r="BG57" s="283">
        <f>IF(AC57&gt;0,Standing!$C$32*0.33,0)</f>
        <v>0</v>
      </c>
      <c r="BH57" s="284">
        <f>IF(AC57&gt;0,Standing!$C$32*0.33,0)</f>
        <v>0</v>
      </c>
      <c r="BI57" s="280">
        <f>IF(AC57&gt;0,Standing!$C$26*0.5,0)</f>
        <v>0</v>
      </c>
      <c r="BJ57" s="281">
        <f>IF(AC57&gt;0,Standing!$C$26*0.5,0)</f>
        <v>0</v>
      </c>
      <c r="BK57" s="282">
        <f>IF(AC57&gt;0,Standing!$C$26*0.5,0)</f>
        <v>0</v>
      </c>
      <c r="BL57" s="283">
        <f>IF(AC57&gt;0,Standing!$C$32*0.66,0)</f>
        <v>0</v>
      </c>
      <c r="BM57" s="281">
        <f>IF(AC57&gt;0,Standing!$C$32*0.9,0)</f>
        <v>0</v>
      </c>
      <c r="BN57" s="284">
        <f t="shared" si="9"/>
        <v>0</v>
      </c>
      <c r="BO57" s="282">
        <f>IF(AC57&gt;0,Standing!$C$32*0.5,0)</f>
        <v>0</v>
      </c>
      <c r="BP57" s="280">
        <f>IF(AC57&gt;0,Standing!$C$32*0.5,0)</f>
        <v>0</v>
      </c>
      <c r="BQ57" s="281">
        <f>IF(AC57&gt;0,Standing!$C$32*0.66,0)</f>
        <v>0</v>
      </c>
      <c r="BR57" s="282">
        <f>IF(AC57&gt;0,Standing!$C$32*0.33,0)</f>
        <v>0</v>
      </c>
      <c r="BS57" s="283">
        <f>IF(AC57&gt;0,Standing!$C$32*0.33,0)</f>
        <v>0</v>
      </c>
      <c r="BT57" s="284">
        <f>IF(AC57&gt;0,Standing!$C$32*0.3,0)</f>
        <v>0</v>
      </c>
      <c r="BU57" s="280">
        <f>IF(AC57&gt;0,Standing!$C$36*0.9,0)</f>
        <v>0</v>
      </c>
      <c r="BV57" s="281">
        <f>IF(AC57&gt;0,Standing!$C$36*0.45,0)</f>
        <v>0</v>
      </c>
      <c r="BW57" s="282">
        <f>IF(AC57&gt;0,Standing!$C$126*0.75,0)</f>
        <v>0</v>
      </c>
      <c r="BX57" s="283">
        <f>IF(AC57&gt;0,Standing!$C$126*0.66,0)</f>
        <v>0</v>
      </c>
      <c r="BY57" s="284">
        <f>IF(AC57&gt;0,Standing!$C$126*0.66,0)</f>
        <v>0</v>
      </c>
      <c r="BZ57" s="280">
        <f>IF(AC57&gt;0,Standing!$C$126*0.375,0)</f>
        <v>0</v>
      </c>
      <c r="CA57" s="281">
        <f>IF(AC57&gt;0,Standing!$C$132,0)</f>
        <v>0</v>
      </c>
      <c r="CB57" s="282">
        <f>IF(AC57&gt;0,Standing!$C$132*0.75,0)</f>
        <v>0</v>
      </c>
      <c r="CC57" s="283">
        <f>IF(AC57&gt;0,Standing!$C$132,0)</f>
        <v>0</v>
      </c>
      <c r="CD57" s="284">
        <f>IF(AC57&gt;0,Standing!$C$132*0.66,0)</f>
        <v>0</v>
      </c>
      <c r="CE57" s="280">
        <f>IF(AC57&gt;0,Standing!$C$132*0.4,0)</f>
        <v>0</v>
      </c>
      <c r="CF57" s="281">
        <f>IF(AC57&gt;0,Standing!$C$132*0.75,0)</f>
        <v>0</v>
      </c>
      <c r="CG57" s="282">
        <f>IF(AC57&gt;0,Standing!$C$132*0.66,0)</f>
        <v>0</v>
      </c>
      <c r="CH57" s="283">
        <f>IF(AC57&gt;0,Standing!$C$132*0.75,0)</f>
        <v>0</v>
      </c>
      <c r="CI57" s="284">
        <f>IF(AC57&gt;0,Standing!$C$132*0.66,0)</f>
        <v>0</v>
      </c>
      <c r="CJ57" s="280">
        <f>IF(AC57&gt;0,Standing!$C$132*0.66,0)</f>
        <v>0</v>
      </c>
      <c r="CK57" s="281">
        <f>IF(AC57&gt;0,Standing!$C$126*0.75,0)</f>
        <v>0</v>
      </c>
      <c r="CL57" s="282">
        <f>IF(AC57&gt;0,Standing!$C$126,0)</f>
        <v>0</v>
      </c>
      <c r="CM57" s="283">
        <f>IF(AC57&gt;0,Standing!$C$126,0)</f>
        <v>0</v>
      </c>
      <c r="CN57" s="284">
        <f>IF(AC57&gt;0,Standing!$C$126*0.66,0)</f>
        <v>0</v>
      </c>
      <c r="CO57" s="280">
        <f>IF(AC57&gt;0,Standing!$C$126*0.4,0)</f>
        <v>0</v>
      </c>
      <c r="CP57" s="281">
        <f>IF(AC57&gt;0,Standing!$C$26*0.25,0)</f>
        <v>0</v>
      </c>
      <c r="CQ57" s="282">
        <f>IF(AC57&gt;0,Standing!$C$26*0.165,0)</f>
        <v>0</v>
      </c>
      <c r="CR57" s="283">
        <f>IF(AC57&gt;0,Standing!$C$26*0.2,0)</f>
        <v>0</v>
      </c>
      <c r="CS57" s="285">
        <f>IF(AC57&gt;0,Standing!$C$26*0.16,0)</f>
        <v>0</v>
      </c>
      <c r="CT57" s="286"/>
      <c r="CU57" s="286" t="s">
        <v>25</v>
      </c>
    </row>
    <row r="58" ht="15.75" customHeight="1">
      <c r="A58" s="51"/>
      <c r="B58" s="296" t="s">
        <v>513</v>
      </c>
      <c r="C58" s="189">
        <f>Standing!C26*0.24</f>
        <v>1.414440945</v>
      </c>
      <c r="D58" s="218">
        <f t="shared" si="3"/>
        <v>0.4502294833</v>
      </c>
      <c r="E58" s="190">
        <f t="shared" si="4"/>
        <v>35.9268</v>
      </c>
      <c r="F58" s="122">
        <f t="shared" si="5"/>
        <v>11.43582888</v>
      </c>
      <c r="G58" s="123">
        <f>C58/Introduction!$I$20</f>
        <v>0.01473375984</v>
      </c>
      <c r="H58" s="192">
        <f t="shared" si="6"/>
        <v>0.004689890452</v>
      </c>
      <c r="I58" s="124">
        <f>E58/Introduction!$I$20</f>
        <v>0.3742375</v>
      </c>
      <c r="J58" s="125">
        <f t="shared" si="7"/>
        <v>0.1191232175</v>
      </c>
      <c r="K58" s="51"/>
      <c r="L58" s="51"/>
      <c r="M58" s="51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286"/>
      <c r="AB58" s="286" t="s">
        <v>26</v>
      </c>
      <c r="AC58" s="287">
        <f>IF('Ship Data Imperial'!E59&gt;0,'Ship Data Imperial'!E59,AD58)</f>
        <v>0</v>
      </c>
      <c r="AD58" s="287">
        <f>'Ship Data Metric'!E59*0.03280839895</f>
        <v>0</v>
      </c>
      <c r="AE58" s="284">
        <f>IF(AC58&gt;0,Standing!$C$75*0.45,0)</f>
        <v>0</v>
      </c>
      <c r="AF58" s="280">
        <f>IF(AC58&gt;0,Standing!$C$75*0.25,0)</f>
        <v>0</v>
      </c>
      <c r="AG58" s="281">
        <f>IF(AC58&gt;0,Standing!$C$75*0.2,0)</f>
        <v>0</v>
      </c>
      <c r="AH58" s="282">
        <f>IF(AC58&gt;0,Standing!$C$75*0.5,0)</f>
        <v>0</v>
      </c>
      <c r="AI58" s="283">
        <f>IF(AC58&gt;0,Standing!$C$75*0.2,0)</f>
        <v>0</v>
      </c>
      <c r="AJ58" s="284">
        <f>IF(AC58&gt;0,Standing!$C$75*0.25,0)</f>
        <v>0</v>
      </c>
      <c r="AK58" s="281">
        <f>IF(AC58&gt;0,Standing!$C$81*0.8,0)</f>
        <v>0</v>
      </c>
      <c r="AL58" s="282">
        <f t="shared" si="8"/>
        <v>0</v>
      </c>
      <c r="AM58" s="283">
        <f>IF(AC58&gt;0,Standing!$C$81*0.66,0)</f>
        <v>0</v>
      </c>
      <c r="AN58" s="284">
        <f>IF(AC58&gt;0,Standing!$C$81*0.55,0)</f>
        <v>0</v>
      </c>
      <c r="AO58" s="280">
        <f>IF(AC58&gt;0,Standing!$C$81*0.36,0)</f>
        <v>0</v>
      </c>
      <c r="AP58" s="281">
        <f>IF(AC58&gt;0,Standing!$C$81*0.9,0)</f>
        <v>0</v>
      </c>
      <c r="AQ58" s="282">
        <f>IF(AC58&gt;0,Standing!$C$85*0.9,0)</f>
        <v>0</v>
      </c>
      <c r="AR58" s="283">
        <f>IF(AC58&gt;0,Standing!$C$85*0.5,0)</f>
        <v>0</v>
      </c>
      <c r="AS58" s="284">
        <f>IF(AC58&gt;0,Standing!$C$85*0.66,0)</f>
        <v>0</v>
      </c>
      <c r="AT58" s="280">
        <f>IF(AC58&gt;0,Standing!$C$85*0.66,0)</f>
        <v>0</v>
      </c>
      <c r="AU58" s="281">
        <f>IF(AC58&gt;0,Standing!$C$75*0.2,0)</f>
        <v>0</v>
      </c>
      <c r="AV58" s="282">
        <f>IF(AC58&gt;0,Standing!$C$75*0.12,0)</f>
        <v>0</v>
      </c>
      <c r="AW58" s="283">
        <f>IF(AC58&gt;0,Standing!$C$26*0.4,0)</f>
        <v>0</v>
      </c>
      <c r="AX58" s="284">
        <f>IF(AC58&gt;0,Standing!$C$26*0.4,0)</f>
        <v>0</v>
      </c>
      <c r="AY58" s="280">
        <f>IF(AC58&gt;0,Standing!$C$26*0.2,0)</f>
        <v>0</v>
      </c>
      <c r="AZ58" s="281">
        <f>IF(AC58&gt;0,Standing!$C$26*0.33,0)</f>
        <v>0</v>
      </c>
      <c r="BA58" s="282">
        <f>IF(AC58&gt;0,Standing!$C$26*0.2,0)</f>
        <v>0</v>
      </c>
      <c r="BB58" s="283">
        <f>IF(AC58&gt;0,Standing!$C$26*0.2,0)</f>
        <v>0</v>
      </c>
      <c r="BC58" s="284">
        <f>IF(AC58&gt;0,Standing!$C$32*0.4,0)</f>
        <v>0</v>
      </c>
      <c r="BD58" s="280">
        <f>IF(AC58&gt;0,Standing!$C$32*0.5,0)</f>
        <v>0</v>
      </c>
      <c r="BE58" s="281">
        <f>IF(AC58&gt;0,Standing!$C$32*0.33,0)</f>
        <v>0</v>
      </c>
      <c r="BF58" s="282">
        <f>IF(AC58&gt;0,Standing!$C$32*0.33,0)</f>
        <v>0</v>
      </c>
      <c r="BG58" s="283">
        <f>IF(AC58&gt;0,Standing!$C$32*0.33,0)</f>
        <v>0</v>
      </c>
      <c r="BH58" s="284">
        <f>IF(AC58&gt;0,Standing!$C$32*0.4,0)</f>
        <v>0</v>
      </c>
      <c r="BI58" s="280">
        <f>IF(AC58&gt;0,Standing!$C$26*0.5,0)</f>
        <v>0</v>
      </c>
      <c r="BJ58" s="281">
        <f>IF(AC58&gt;0,Standing!$C$26*0.5,0)</f>
        <v>0</v>
      </c>
      <c r="BK58" s="282">
        <f>IF(AC58&gt;0,Standing!$C$26*0.5,0)</f>
        <v>0</v>
      </c>
      <c r="BL58" s="283">
        <f>IF(AC58&gt;0,Standing!$C$32*0.66,0)</f>
        <v>0</v>
      </c>
      <c r="BM58" s="281">
        <f>IF(AC58&gt;0,Standing!$C$32*0.85,0)</f>
        <v>0</v>
      </c>
      <c r="BN58" s="284">
        <f t="shared" si="9"/>
        <v>0</v>
      </c>
      <c r="BO58" s="282">
        <f>IF(AC58&gt;0,Standing!$C$32*0.5,0)</f>
        <v>0</v>
      </c>
      <c r="BP58" s="280">
        <f>IF(AC58&gt;0,Standing!$C$32*0.5,0)</f>
        <v>0</v>
      </c>
      <c r="BQ58" s="281">
        <f>IF(AC58&gt;0,Standing!$C$32*0.66,0)</f>
        <v>0</v>
      </c>
      <c r="BR58" s="282">
        <f>IF(AC58&gt;0,Standing!$C$32*0.33,0)</f>
        <v>0</v>
      </c>
      <c r="BS58" s="283">
        <f>IF(AC58&gt;0,Standing!$C$32*0.33,0)</f>
        <v>0</v>
      </c>
      <c r="BT58" s="284">
        <f>IF(AC58&gt;0,Standing!$C$32*0.3,0)</f>
        <v>0</v>
      </c>
      <c r="BU58" s="280">
        <f>IF(AC58&gt;0,Standing!$C$36*0.9,0)</f>
        <v>0</v>
      </c>
      <c r="BV58" s="281">
        <f>IF(AC58&gt;0,Standing!$C$36*0.45,0)</f>
        <v>0</v>
      </c>
      <c r="BW58" s="282">
        <f>IF(AC58&gt;0,Standing!$C$126*0.75,0)</f>
        <v>0</v>
      </c>
      <c r="BX58" s="283">
        <f>IF(AC58&gt;0,Standing!$C$126*0.66,0)</f>
        <v>0</v>
      </c>
      <c r="BY58" s="284">
        <f>IF(AC58&gt;0,Standing!$C$126*0.66,0)</f>
        <v>0</v>
      </c>
      <c r="BZ58" s="280">
        <f>IF(AC58&gt;0,Standing!$C$126*0.375,0)</f>
        <v>0</v>
      </c>
      <c r="CA58" s="281">
        <f>IF(AC58&gt;0,Standing!$C$132,0)</f>
        <v>0</v>
      </c>
      <c r="CB58" s="282">
        <f>IF(AC58&gt;0,Standing!$C$132*0.75,0)</f>
        <v>0</v>
      </c>
      <c r="CC58" s="283">
        <f>IF(AC58&gt;0,Standing!$C$132,0)</f>
        <v>0</v>
      </c>
      <c r="CD58" s="284">
        <f>IF(AC58&gt;0,Standing!$C$132*0.66,0)</f>
        <v>0</v>
      </c>
      <c r="CE58" s="280">
        <f>IF(AC58&gt;0,Standing!$C$132*0.4,0)</f>
        <v>0</v>
      </c>
      <c r="CF58" s="281">
        <f>IF(AC58&gt;0,Standing!$C$132*0.75,0)</f>
        <v>0</v>
      </c>
      <c r="CG58" s="282">
        <f>IF(AC58&gt;0,Standing!$C$132*0.66,0)</f>
        <v>0</v>
      </c>
      <c r="CH58" s="283">
        <f>IF(AC58&gt;0,Standing!$C$132*0.75,0)</f>
        <v>0</v>
      </c>
      <c r="CI58" s="284">
        <f>IF(AC58&gt;0,Standing!$C$132*0.66,0)</f>
        <v>0</v>
      </c>
      <c r="CJ58" s="280">
        <f>IF(AC58&gt;0,Standing!$C$132*0.66,0)</f>
        <v>0</v>
      </c>
      <c r="CK58" s="281">
        <f>IF(AC58&gt;0,Standing!$C$126*0.75,0)</f>
        <v>0</v>
      </c>
      <c r="CL58" s="282">
        <f>IF(AC58&gt;0,Standing!$C$126,0)</f>
        <v>0</v>
      </c>
      <c r="CM58" s="283">
        <f>IF(AC58&gt;0,Standing!$C$126,0)</f>
        <v>0</v>
      </c>
      <c r="CN58" s="284">
        <f>IF(AC58&gt;0,Standing!$C$126*0.66,0)</f>
        <v>0</v>
      </c>
      <c r="CO58" s="280">
        <f>IF(AC58&gt;0,Standing!$C$126*0.4,0)</f>
        <v>0</v>
      </c>
      <c r="CP58" s="281">
        <f>IF(AC58&gt;0,Standing!$C$26*0.25,0)</f>
        <v>0</v>
      </c>
      <c r="CQ58" s="282">
        <f>IF(AC58&gt;0,Standing!$C$26*0.2,0)</f>
        <v>0</v>
      </c>
      <c r="CR58" s="283">
        <f>IF(AC58&gt;0,Standing!$C$26*0.25,0)</f>
        <v>0</v>
      </c>
      <c r="CS58" s="285">
        <f>IF(AC58&gt;0,Standing!$C$26*0.2,0)</f>
        <v>0</v>
      </c>
      <c r="CT58" s="286"/>
      <c r="CU58" s="286" t="s">
        <v>26</v>
      </c>
    </row>
    <row r="59" ht="15.75" customHeight="1">
      <c r="A59" s="51"/>
      <c r="B59" s="296" t="s">
        <v>514</v>
      </c>
      <c r="C59" s="189">
        <f>IF(Standing!C26*0.125&gt;1,Standing!C26*0.125,1)</f>
        <v>1</v>
      </c>
      <c r="D59" s="218">
        <f t="shared" si="3"/>
        <v>0.3183091418</v>
      </c>
      <c r="E59" s="190">
        <f t="shared" si="4"/>
        <v>25.4</v>
      </c>
      <c r="F59" s="122">
        <f t="shared" si="5"/>
        <v>8.085052203</v>
      </c>
      <c r="G59" s="123">
        <f>C59/Introduction!$I$20</f>
        <v>0.01041666667</v>
      </c>
      <c r="H59" s="192">
        <f t="shared" si="6"/>
        <v>0.003315720227</v>
      </c>
      <c r="I59" s="124">
        <f>E59/Introduction!$I$20</f>
        <v>0.2645833333</v>
      </c>
      <c r="J59" s="125">
        <f t="shared" si="7"/>
        <v>0.08421929378</v>
      </c>
      <c r="K59" s="51"/>
      <c r="L59" s="51"/>
      <c r="M59" s="51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286"/>
      <c r="AB59" s="286" t="s">
        <v>27</v>
      </c>
      <c r="AC59" s="287">
        <f>IF('Ship Data Imperial'!E60&gt;0,'Ship Data Imperial'!E60,AD59)</f>
        <v>0</v>
      </c>
      <c r="AD59" s="287">
        <f>'Ship Data Metric'!E60*0.03280839895</f>
        <v>0</v>
      </c>
      <c r="AE59" s="284">
        <f>IF(AC59&gt;0,Standing!$C$75*0.45,0)</f>
        <v>0</v>
      </c>
      <c r="AF59" s="280">
        <f>IF(AC59&gt;0,Standing!$C$75*0.33,0)</f>
        <v>0</v>
      </c>
      <c r="AG59" s="281">
        <f>IF(AC59&gt;0,Standing!$C$75*0.2,0)</f>
        <v>0</v>
      </c>
      <c r="AH59" s="282">
        <f>IF(AC59&gt;0,Standing!$C$75*0.5,0)</f>
        <v>0</v>
      </c>
      <c r="AI59" s="283">
        <f>IF(AC59&gt;0,Standing!$C$75*0.2,0)</f>
        <v>0</v>
      </c>
      <c r="AJ59" s="284">
        <f>IF(AC59&gt;0,Standing!$C$75*0.25,0)</f>
        <v>0</v>
      </c>
      <c r="AK59" s="281">
        <f>IF(AC59&gt;0,Standing!$C$81*0.8,0)</f>
        <v>0</v>
      </c>
      <c r="AL59" s="282">
        <f t="shared" si="8"/>
        <v>0</v>
      </c>
      <c r="AM59" s="283">
        <f>IF(AC59&gt;0,Standing!$C$81*0.66,0)</f>
        <v>0</v>
      </c>
      <c r="AN59" s="284">
        <f>IF(AC59&gt;0,Standing!$C$81*0.55,0)</f>
        <v>0</v>
      </c>
      <c r="AO59" s="280">
        <f>IF(AC59&gt;0,Standing!$C$81*0.36,0)</f>
        <v>0</v>
      </c>
      <c r="AP59" s="281">
        <f>IF(AC59&gt;0,Standing!$C$81*0.9,0)</f>
        <v>0</v>
      </c>
      <c r="AQ59" s="282">
        <f>IF(AC59&gt;0,Standing!$C$85*0.9,0)</f>
        <v>0</v>
      </c>
      <c r="AR59" s="283">
        <f>IF(AC59&gt;0,Standing!$C$85*0.5,0)</f>
        <v>0</v>
      </c>
      <c r="AS59" s="284">
        <f>IF(AC59&gt;0,Standing!$C$85*0.66,0)</f>
        <v>0</v>
      </c>
      <c r="AT59" s="280">
        <f>IF(AC59&gt;0,Standing!$C$85*0.66,0)</f>
        <v>0</v>
      </c>
      <c r="AU59" s="281">
        <f>IF(AC59&gt;0,Standing!$C$75*0.25,0)</f>
        <v>0</v>
      </c>
      <c r="AV59" s="282">
        <f>IF(AC59&gt;0,Standing!$C$75*0.12,0)</f>
        <v>0</v>
      </c>
      <c r="AW59" s="283">
        <f>IF(AC59&gt;0,Standing!$C$26*0.4,0)</f>
        <v>0</v>
      </c>
      <c r="AX59" s="284">
        <f>IF(AC59&gt;0,Standing!$C$26*0.4,0)</f>
        <v>0</v>
      </c>
      <c r="AY59" s="280">
        <f>IF(AC59&gt;0,Standing!$C$26*0.2,0)</f>
        <v>0</v>
      </c>
      <c r="AZ59" s="281">
        <f>IF(AC59&gt;0,Standing!$C$26*0.33,0)</f>
        <v>0</v>
      </c>
      <c r="BA59" s="282">
        <f>IF(AC59&gt;0,Standing!$C$26*0.2,0)</f>
        <v>0</v>
      </c>
      <c r="BB59" s="283">
        <f>IF(AC59&gt;0,Standing!$C$26*0.2,0)</f>
        <v>0</v>
      </c>
      <c r="BC59" s="284">
        <f>IF(AC59&gt;0,Standing!$C$32*0.4,0)</f>
        <v>0</v>
      </c>
      <c r="BD59" s="280">
        <f>IF(AC59&gt;0,Standing!$C$32*0.5,0)</f>
        <v>0</v>
      </c>
      <c r="BE59" s="281">
        <f>IF(AC59&gt;0,Standing!$C$32*0.33,0)</f>
        <v>0</v>
      </c>
      <c r="BF59" s="282">
        <f>IF(AC59&gt;0,Standing!$C$32*0.33,0)</f>
        <v>0</v>
      </c>
      <c r="BG59" s="283">
        <f>IF(AC59&gt;0,Standing!$C$32*0.33,0)</f>
        <v>0</v>
      </c>
      <c r="BH59" s="284">
        <f>IF(AC59&gt;0,Standing!$C$32*0.4,0)</f>
        <v>0</v>
      </c>
      <c r="BI59" s="280">
        <f>IF(AC59&gt;0,Standing!$C$26*0.5,0)</f>
        <v>0</v>
      </c>
      <c r="BJ59" s="281">
        <f>IF(AC59&gt;0,Standing!$C$26*0.5,0)</f>
        <v>0</v>
      </c>
      <c r="BK59" s="282">
        <f>IF(AC59&gt;0,Standing!$C$26*0.5,0)</f>
        <v>0</v>
      </c>
      <c r="BL59" s="283">
        <f>IF(AC59&gt;0,Standing!$C$32*0.66,0)</f>
        <v>0</v>
      </c>
      <c r="BM59" s="281">
        <f>IF(AC59&gt;0,Standing!$C$32*0.85,0)</f>
        <v>0</v>
      </c>
      <c r="BN59" s="284">
        <f t="shared" si="9"/>
        <v>0</v>
      </c>
      <c r="BO59" s="282">
        <f>IF(AC59&gt;0,Standing!$C$32*0.45,0)</f>
        <v>0</v>
      </c>
      <c r="BP59" s="280">
        <f>IF(AC59&gt;0,Standing!$C$32*0.66,0)</f>
        <v>0</v>
      </c>
      <c r="BQ59" s="281">
        <f>IF(AC59&gt;0,Standing!$C$32*0.66,0)</f>
        <v>0</v>
      </c>
      <c r="BR59" s="282">
        <f>IF(AC59&gt;0,Standing!$C$32*0.33,0)</f>
        <v>0</v>
      </c>
      <c r="BS59" s="283">
        <f>IF(AC59&gt;0,Standing!$C$32*0.33,0)</f>
        <v>0</v>
      </c>
      <c r="BT59" s="284">
        <f>IF(AC59&gt;0,Standing!$C$32*0.3,0)</f>
        <v>0</v>
      </c>
      <c r="BU59" s="280">
        <f>IF(AC59&gt;0,Standing!$C$36*0.9,0)</f>
        <v>0</v>
      </c>
      <c r="BV59" s="281">
        <f>IF(AC59&gt;0,Standing!$C$36*0.45,0)</f>
        <v>0</v>
      </c>
      <c r="BW59" s="282">
        <f>IF(AC59&gt;0,Standing!$C$126*0.75,0)</f>
        <v>0</v>
      </c>
      <c r="BX59" s="283">
        <f>IF(AC59&gt;0,Standing!$C$126*0.66,0)</f>
        <v>0</v>
      </c>
      <c r="BY59" s="284">
        <f>IF(AC59&gt;0,Standing!$C$126*0.66,0)</f>
        <v>0</v>
      </c>
      <c r="BZ59" s="280">
        <f>IF(AC59&gt;0,Standing!$C$126*0.375,0)</f>
        <v>0</v>
      </c>
      <c r="CA59" s="281">
        <f>IF(AC59&gt;0,Standing!$C$132,0)</f>
        <v>0</v>
      </c>
      <c r="CB59" s="282">
        <f>IF(AC59&gt;0,Standing!$C$132*0.75,0)</f>
        <v>0</v>
      </c>
      <c r="CC59" s="283">
        <f>IF(AC59&gt;0,Standing!$C$132,0)</f>
        <v>0</v>
      </c>
      <c r="CD59" s="284">
        <f>IF(AC59&gt;0,Standing!$C$132*0.66,0)</f>
        <v>0</v>
      </c>
      <c r="CE59" s="280">
        <f>IF(AC59&gt;0,Standing!$C$132*0.5,0)</f>
        <v>0</v>
      </c>
      <c r="CF59" s="281">
        <f>IF(AC59&gt;0,Standing!$C$132*0.75,0)</f>
        <v>0</v>
      </c>
      <c r="CG59" s="282">
        <f>IF(AC59&gt;0,Standing!$C$132*0.66,0)</f>
        <v>0</v>
      </c>
      <c r="CH59" s="283">
        <f>IF(AC59&gt;0,Standing!$C$132*0.75,0)</f>
        <v>0</v>
      </c>
      <c r="CI59" s="284">
        <f>IF(AC59&gt;0,Standing!$C$132*0.66,0)</f>
        <v>0</v>
      </c>
      <c r="CJ59" s="280">
        <f>IF(AC59&gt;0,Standing!$C$132*0.66,0)</f>
        <v>0</v>
      </c>
      <c r="CK59" s="281">
        <f>IF(AC59&gt;0,Standing!$C$126*0.75,0)</f>
        <v>0</v>
      </c>
      <c r="CL59" s="282">
        <f>IF(AC59&gt;0,Standing!$C$126,0)</f>
        <v>0</v>
      </c>
      <c r="CM59" s="283">
        <f>IF(AC59&gt;0,Standing!$C$126,0)</f>
        <v>0</v>
      </c>
      <c r="CN59" s="284">
        <f>IF(AC59&gt;0,Standing!$C$126*0.66,0)</f>
        <v>0</v>
      </c>
      <c r="CO59" s="280">
        <f>IF(AC59&gt;0,Standing!$C$126*0.4,0)</f>
        <v>0</v>
      </c>
      <c r="CP59" s="281">
        <f>IF(AC59&gt;0,Standing!$C$26*0.33,0)</f>
        <v>0</v>
      </c>
      <c r="CQ59" s="282">
        <f>IF(AC59&gt;0,Standing!$C$26*0.2,0)</f>
        <v>0</v>
      </c>
      <c r="CR59" s="283">
        <f>IF(AC59&gt;0,Standing!$C$26*0.25,0)</f>
        <v>0</v>
      </c>
      <c r="CS59" s="285">
        <f>IF(AC59&gt;0,Standing!$C$26*0.2,0)</f>
        <v>0</v>
      </c>
      <c r="CT59" s="286"/>
      <c r="CU59" s="286" t="s">
        <v>27</v>
      </c>
    </row>
    <row r="60" ht="15.75" customHeight="1">
      <c r="A60" s="51"/>
      <c r="B60" s="296" t="s">
        <v>515</v>
      </c>
      <c r="C60" s="189">
        <f>Standing!$C$26*0.2</f>
        <v>1.178700787</v>
      </c>
      <c r="D60" s="218">
        <f t="shared" si="3"/>
        <v>0.3751912361</v>
      </c>
      <c r="E60" s="190">
        <f t="shared" si="4"/>
        <v>29.939</v>
      </c>
      <c r="F60" s="122">
        <f t="shared" si="5"/>
        <v>9.529857397</v>
      </c>
      <c r="G60" s="123">
        <f>C60/Introduction!$I$20</f>
        <v>0.0122781332</v>
      </c>
      <c r="H60" s="192">
        <f t="shared" si="6"/>
        <v>0.003908242043</v>
      </c>
      <c r="I60" s="124">
        <f>E60/Introduction!$I$20</f>
        <v>0.3118645833</v>
      </c>
      <c r="J60" s="125">
        <f t="shared" si="7"/>
        <v>0.09926934789</v>
      </c>
      <c r="K60" s="51"/>
      <c r="L60" s="51"/>
      <c r="M60" s="51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286"/>
      <c r="AB60" s="286" t="s">
        <v>28</v>
      </c>
      <c r="AC60" s="287">
        <f>IF('Ship Data Imperial'!E61&gt;0,'Ship Data Imperial'!E61,AD60)</f>
        <v>0</v>
      </c>
      <c r="AD60" s="287">
        <f>'Ship Data Metric'!E61*0.03280839895</f>
        <v>0</v>
      </c>
      <c r="AE60" s="284">
        <f>IF(AC60&gt;0,Standing!$C$75*0.65,0)</f>
        <v>0</v>
      </c>
      <c r="AF60" s="280">
        <f>IF(AC60&gt;0,Standing!$C$75*0.25,0)</f>
        <v>0</v>
      </c>
      <c r="AG60" s="281">
        <f>IF(AC60&gt;0,Standing!$C$75*0.2,0)</f>
        <v>0</v>
      </c>
      <c r="AH60" s="282">
        <f>IF(AC60&gt;0,Standing!$C$75*0.5,0)</f>
        <v>0</v>
      </c>
      <c r="AI60" s="283">
        <f>IF(AC60&gt;0,Standing!$C$75*0.2,0)</f>
        <v>0</v>
      </c>
      <c r="AJ60" s="284">
        <f>IF(AC60&gt;0,Standing!$C$75*0.25,0)</f>
        <v>0</v>
      </c>
      <c r="AK60" s="281">
        <f>IF(AC60&gt;0,Standing!$C$81*0.8,0)</f>
        <v>0</v>
      </c>
      <c r="AL60" s="282">
        <f t="shared" si="8"/>
        <v>0</v>
      </c>
      <c r="AM60" s="283">
        <f>IF(AC60&gt;0,Standing!$C$81*0.66,0)</f>
        <v>0</v>
      </c>
      <c r="AN60" s="284">
        <f>IF(AC60&gt;0,Standing!$C$81*0.55,0)</f>
        <v>0</v>
      </c>
      <c r="AO60" s="280">
        <f>IF(AC60&gt;0,Standing!$C$81*0.36,0)</f>
        <v>0</v>
      </c>
      <c r="AP60" s="281">
        <f>IF(AC60&gt;0,Standing!$C$81*0.9,0)</f>
        <v>0</v>
      </c>
      <c r="AQ60" s="282">
        <f>IF(AC60&gt;0,Standing!$C$85*0.9,0)</f>
        <v>0</v>
      </c>
      <c r="AR60" s="283">
        <f>IF(AC60&gt;0,Standing!$C$85*0.5,0)</f>
        <v>0</v>
      </c>
      <c r="AS60" s="284">
        <f>IF(AC60&gt;0,Standing!$C$85*0.66,0)</f>
        <v>0</v>
      </c>
      <c r="AT60" s="280">
        <f>IF(AC60&gt;0,Standing!$C$85*0.66,0)</f>
        <v>0</v>
      </c>
      <c r="AU60" s="281">
        <f>IF(AC60&gt;0,Standing!$C$75*0.25,0)</f>
        <v>0</v>
      </c>
      <c r="AV60" s="282">
        <f>IF(AC60&gt;0,Standing!$C$75*0.12,0)</f>
        <v>0</v>
      </c>
      <c r="AW60" s="283">
        <f>IF(AC60&gt;0,Standing!$C$26*0.4,0)</f>
        <v>0</v>
      </c>
      <c r="AX60" s="284">
        <f>IF(AC60&gt;0,Standing!$C$26*0.4,0)</f>
        <v>0</v>
      </c>
      <c r="AY60" s="280">
        <f>IF(AC60&gt;0,Standing!$C$26*0.2,0)</f>
        <v>0</v>
      </c>
      <c r="AZ60" s="281">
        <f>IF(AC60&gt;0,Standing!$C$26*0.33,0)</f>
        <v>0</v>
      </c>
      <c r="BA60" s="282">
        <f>IF(AC60&gt;0,Standing!$C$26*0.2,0)</f>
        <v>0</v>
      </c>
      <c r="BB60" s="283">
        <f>IF(AC60&gt;0,Standing!$C$26*0.2,0)</f>
        <v>0</v>
      </c>
      <c r="BC60" s="284">
        <f>IF(AC60&gt;0,Standing!$C$32*0.4,0)</f>
        <v>0</v>
      </c>
      <c r="BD60" s="280">
        <f>IF(AC60&gt;0,Standing!$C$32*0.5,0)</f>
        <v>0</v>
      </c>
      <c r="BE60" s="281">
        <f>IF(AC60&gt;0,Standing!$C$32*0.33,0)</f>
        <v>0</v>
      </c>
      <c r="BF60" s="282">
        <f>IF(AC60&gt;0,Standing!$C$32*0.33,0)</f>
        <v>0</v>
      </c>
      <c r="BG60" s="283">
        <f>IF(AC60&gt;0,Standing!$C$32*0.33,0)</f>
        <v>0</v>
      </c>
      <c r="BH60" s="284">
        <f>IF(AC60&gt;0,Standing!$C$32*0.4,0)</f>
        <v>0</v>
      </c>
      <c r="BI60" s="280">
        <f>IF(AC60&gt;0,Standing!$C$26*0.75,0)</f>
        <v>0</v>
      </c>
      <c r="BJ60" s="281">
        <f>IF(AC60&gt;0,Standing!$C$26*0.5,0)</f>
        <v>0</v>
      </c>
      <c r="BK60" s="282">
        <f>IF(AC60&gt;0,Standing!$C$26*0.5,0)</f>
        <v>0</v>
      </c>
      <c r="BL60" s="283">
        <f>IF(AC60&gt;0,Standing!$C$32*0.66,0)</f>
        <v>0</v>
      </c>
      <c r="BM60" s="281">
        <f>IF(AC60&gt;0,Standing!$C$32*0.85,0)</f>
        <v>0</v>
      </c>
      <c r="BN60" s="284">
        <f t="shared" si="9"/>
        <v>0</v>
      </c>
      <c r="BO60" s="282">
        <f>IF(AC60&gt;0,Standing!$C$32*0.45,0)</f>
        <v>0</v>
      </c>
      <c r="BP60" s="280">
        <f>IF(AC60&gt;0,Standing!$C$32*0.66,0)</f>
        <v>0</v>
      </c>
      <c r="BQ60" s="281">
        <f>IF(AC60&gt;0,Standing!$C$32*0.66,0)</f>
        <v>0</v>
      </c>
      <c r="BR60" s="282">
        <f>IF(AC60&gt;0,Standing!$C$32*0.33,0)</f>
        <v>0</v>
      </c>
      <c r="BS60" s="283">
        <f>IF(AC60&gt;0,Standing!$C$32*0.33,0)</f>
        <v>0</v>
      </c>
      <c r="BT60" s="284">
        <f>IF(AC60&gt;0,Standing!$C$32*0.3,0)</f>
        <v>0</v>
      </c>
      <c r="BU60" s="280">
        <f>IF(AC60&gt;0,Standing!$C$36*0.9,0)</f>
        <v>0</v>
      </c>
      <c r="BV60" s="281">
        <f>IF(AC60&gt;0,Standing!$C$36*0.45,0)</f>
        <v>0</v>
      </c>
      <c r="BW60" s="282">
        <f>IF(AC60&gt;0,Standing!$C$126*0.75,0)</f>
        <v>0</v>
      </c>
      <c r="BX60" s="283">
        <f>IF(AC60&gt;0,Standing!$C$126*0.66,0)</f>
        <v>0</v>
      </c>
      <c r="BY60" s="284">
        <f>IF(AC60&gt;0,Standing!$C$126*0.66,0)</f>
        <v>0</v>
      </c>
      <c r="BZ60" s="280">
        <f>IF(AC60&gt;0,Standing!$C$126*0.375,0)</f>
        <v>0</v>
      </c>
      <c r="CA60" s="281">
        <f>IF(AC60&gt;0,Standing!$C$132,0)</f>
        <v>0</v>
      </c>
      <c r="CB60" s="282">
        <f>IF(AC60&gt;0,Standing!$C$132*0.75,0)</f>
        <v>0</v>
      </c>
      <c r="CC60" s="283">
        <f>IF(AC60&gt;0,Standing!$C$132,0)</f>
        <v>0</v>
      </c>
      <c r="CD60" s="284">
        <f>IF(AC60&gt;0,Standing!$C$132*0.66,0)</f>
        <v>0</v>
      </c>
      <c r="CE60" s="280">
        <f>IF(AC60&gt;0,Standing!$C$132*0.5,0)</f>
        <v>0</v>
      </c>
      <c r="CF60" s="281">
        <f>IF(AC60&gt;0,Standing!$C$132*0.75,0)</f>
        <v>0</v>
      </c>
      <c r="CG60" s="282">
        <f>IF(AC60&gt;0,Standing!$C$132*0.66,0)</f>
        <v>0</v>
      </c>
      <c r="CH60" s="283">
        <f>IF(AC60&gt;0,Standing!$C$132*0.75,0)</f>
        <v>0</v>
      </c>
      <c r="CI60" s="284">
        <f>IF(AC60&gt;0,Standing!$C$132*0.66,0)</f>
        <v>0</v>
      </c>
      <c r="CJ60" s="280">
        <f>IF(AC60&gt;0,Standing!$C$132*0.66,0)</f>
        <v>0</v>
      </c>
      <c r="CK60" s="281">
        <f>IF(AC60&gt;0,Standing!$C$126*0.75,0)</f>
        <v>0</v>
      </c>
      <c r="CL60" s="282">
        <f>IF(AC60&gt;0,Standing!$C$126,0)</f>
        <v>0</v>
      </c>
      <c r="CM60" s="283">
        <f>IF(AC60&gt;0,Standing!$C$126,0)</f>
        <v>0</v>
      </c>
      <c r="CN60" s="284">
        <f>IF(AC60&gt;0,Standing!$C$126*0.66,0)</f>
        <v>0</v>
      </c>
      <c r="CO60" s="280">
        <f>IF(AC60&gt;0,Standing!$C$126*0.4,0)</f>
        <v>0</v>
      </c>
      <c r="CP60" s="281">
        <f>IF(AC60&gt;0,Standing!$C$26*0.33,0)</f>
        <v>0</v>
      </c>
      <c r="CQ60" s="282">
        <f>IF(AC60&gt;0,Standing!$C$26*0.2,0)</f>
        <v>0</v>
      </c>
      <c r="CR60" s="283">
        <f>IF(AC60&gt;0,Standing!$C$26*0.25,0)</f>
        <v>0</v>
      </c>
      <c r="CS60" s="285">
        <f>IF(AC60&gt;0,Standing!$C$26*0.2,0)</f>
        <v>0</v>
      </c>
      <c r="CT60" s="286"/>
      <c r="CU60" s="286" t="s">
        <v>28</v>
      </c>
    </row>
    <row r="61" ht="15.75" customHeight="1">
      <c r="A61" s="51"/>
      <c r="B61" s="296" t="s">
        <v>516</v>
      </c>
      <c r="C61" s="189">
        <f>CQ136</f>
        <v>1.178700787</v>
      </c>
      <c r="D61" s="218">
        <f t="shared" si="3"/>
        <v>0.3751912361</v>
      </c>
      <c r="E61" s="190">
        <f t="shared" si="4"/>
        <v>29.939</v>
      </c>
      <c r="F61" s="122">
        <f t="shared" si="5"/>
        <v>9.529857397</v>
      </c>
      <c r="G61" s="123">
        <f>C61/Introduction!$I$20</f>
        <v>0.0122781332</v>
      </c>
      <c r="H61" s="192">
        <f t="shared" si="6"/>
        <v>0.003908242043</v>
      </c>
      <c r="I61" s="124">
        <f>E61/Introduction!$I$20</f>
        <v>0.3118645833</v>
      </c>
      <c r="J61" s="125">
        <f t="shared" si="7"/>
        <v>0.09926934789</v>
      </c>
      <c r="K61" s="51"/>
      <c r="L61" s="51"/>
      <c r="M61" s="51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286"/>
      <c r="AB61" s="286" t="s">
        <v>29</v>
      </c>
      <c r="AC61" s="287">
        <f>IF('Ship Data Imperial'!E62&gt;0,'Ship Data Imperial'!E62,AD61)</f>
        <v>0</v>
      </c>
      <c r="AD61" s="287">
        <f>'Ship Data Metric'!E62*0.03280839895</f>
        <v>0</v>
      </c>
      <c r="AE61" s="284">
        <f>IF(AC61&gt;0,Standing!$C$75*0.65,0)</f>
        <v>0</v>
      </c>
      <c r="AF61" s="280">
        <f>IF(AC61&gt;0,Standing!$C$75*0.25,0)</f>
        <v>0</v>
      </c>
      <c r="AG61" s="281">
        <f>IF(AC61&gt;0,Standing!$C$75*0.2,0)</f>
        <v>0</v>
      </c>
      <c r="AH61" s="282">
        <f>IF(AC61&gt;0,Standing!$C$75*0.5,0)</f>
        <v>0</v>
      </c>
      <c r="AI61" s="283">
        <f>IF(AC61&gt;0,Standing!$C$75*0.2,0)</f>
        <v>0</v>
      </c>
      <c r="AJ61" s="284">
        <f>IF(AC61&gt;0,Standing!$C$75*0.25,0)</f>
        <v>0</v>
      </c>
      <c r="AK61" s="281">
        <f>IF(AC61&gt;0,Standing!$C$81*0.8,0)</f>
        <v>0</v>
      </c>
      <c r="AL61" s="282">
        <f t="shared" si="8"/>
        <v>0</v>
      </c>
      <c r="AM61" s="283">
        <f>IF(AC61&gt;0,Standing!$C$81*0.66,0)</f>
        <v>0</v>
      </c>
      <c r="AN61" s="284">
        <f>IF(AC61&gt;0,Standing!$C$81*0.55,0)</f>
        <v>0</v>
      </c>
      <c r="AO61" s="280">
        <f>IF(AC61&gt;0,Standing!$C$81*0.36,0)</f>
        <v>0</v>
      </c>
      <c r="AP61" s="281">
        <f>IF(AC61&gt;0,Standing!$C$81*0.9,0)</f>
        <v>0</v>
      </c>
      <c r="AQ61" s="282">
        <f>IF(AC61&gt;0,Standing!$C$85*0.9,0)</f>
        <v>0</v>
      </c>
      <c r="AR61" s="283">
        <f>IF(AC61&gt;0,Standing!$C$85*0.5,0)</f>
        <v>0</v>
      </c>
      <c r="AS61" s="284">
        <f>IF(AC61&gt;0,Standing!$C$85*0.66,0)</f>
        <v>0</v>
      </c>
      <c r="AT61" s="280">
        <f>IF(AC61&gt;0,Standing!$C$85*0.66,0)</f>
        <v>0</v>
      </c>
      <c r="AU61" s="281">
        <f>IF(AC61&gt;0,Standing!$C$75*0.25,0)</f>
        <v>0</v>
      </c>
      <c r="AV61" s="282">
        <f>IF(AC61&gt;0,Standing!$C$75*0.12,0)</f>
        <v>0</v>
      </c>
      <c r="AW61" s="283">
        <f>IF(AC61&gt;0,Standing!$C$26*0.4,0)</f>
        <v>0</v>
      </c>
      <c r="AX61" s="284">
        <f>IF(AC61&gt;0,Standing!$C$26*0.4,0)</f>
        <v>0</v>
      </c>
      <c r="AY61" s="280">
        <f>IF(AC61&gt;0,Standing!$C$26*0.2,0)</f>
        <v>0</v>
      </c>
      <c r="AZ61" s="281">
        <f>IF(AC61&gt;0,Standing!$C$26*0.33,0)</f>
        <v>0</v>
      </c>
      <c r="BA61" s="282">
        <f>IF(AC61&gt;0,Standing!$C$26*0.2,0)</f>
        <v>0</v>
      </c>
      <c r="BB61" s="283">
        <f>IF(AC61&gt;0,Standing!$C$26*0.2,0)</f>
        <v>0</v>
      </c>
      <c r="BC61" s="284">
        <f>IF(AC61&gt;0,Standing!$C$32*0.4,0)</f>
        <v>0</v>
      </c>
      <c r="BD61" s="280">
        <f>IF(AC61&gt;0,Standing!$C$32*0.5,0)</f>
        <v>0</v>
      </c>
      <c r="BE61" s="281">
        <f>IF(AC61&gt;0,Standing!$C$32*0.33,0)</f>
        <v>0</v>
      </c>
      <c r="BF61" s="282">
        <f>IF(AC61&gt;0,Standing!$C$32*0.33,0)</f>
        <v>0</v>
      </c>
      <c r="BG61" s="283">
        <f>IF(AC61&gt;0,Standing!$C$32*0.33,0)</f>
        <v>0</v>
      </c>
      <c r="BH61" s="284">
        <f>IF(AC61&gt;0,Standing!$C$32*0.4,0)</f>
        <v>0</v>
      </c>
      <c r="BI61" s="280">
        <f>IF(AC61&gt;0,Standing!$C$26*0.75,0)</f>
        <v>0</v>
      </c>
      <c r="BJ61" s="281">
        <f>IF(AC61&gt;0,Standing!$C$26*0.5,0)</f>
        <v>0</v>
      </c>
      <c r="BK61" s="282">
        <f>IF(AC61&gt;0,Standing!$C$26*0.5,0)</f>
        <v>0</v>
      </c>
      <c r="BL61" s="283">
        <f>IF(AC61&gt;0,Standing!$C$32*0.66,0)</f>
        <v>0</v>
      </c>
      <c r="BM61" s="281">
        <f>IF(AC61&gt;0,Standing!$C$32*0.85,0)</f>
        <v>0</v>
      </c>
      <c r="BN61" s="284">
        <f t="shared" si="9"/>
        <v>0</v>
      </c>
      <c r="BO61" s="282">
        <f>IF(AC61&gt;0,Standing!$C$32*0.45,0)</f>
        <v>0</v>
      </c>
      <c r="BP61" s="280">
        <f>IF(AC61&gt;0,Standing!$C$32*0.66,0)</f>
        <v>0</v>
      </c>
      <c r="BQ61" s="281">
        <f>IF(AC61&gt;0,Standing!$C$32*0.66,0)</f>
        <v>0</v>
      </c>
      <c r="BR61" s="282">
        <f>IF(AC61&gt;0,Standing!$C$32*0.33,0)</f>
        <v>0</v>
      </c>
      <c r="BS61" s="283">
        <f>IF(AC61&gt;0,Standing!$C$32*0.375,0)</f>
        <v>0</v>
      </c>
      <c r="BT61" s="284">
        <f>IF(AC61&gt;0,Standing!$C$32*0.3,0)</f>
        <v>0</v>
      </c>
      <c r="BU61" s="280">
        <f>IF(AC61&gt;0,Standing!$C$36*0.9,0)</f>
        <v>0</v>
      </c>
      <c r="BV61" s="281">
        <f>IF(AC61&gt;0,Standing!$C$36*0.45,0)</f>
        <v>0</v>
      </c>
      <c r="BW61" s="282">
        <f>IF(AC61&gt;0,Standing!$C$126*0.75,0)</f>
        <v>0</v>
      </c>
      <c r="BX61" s="283">
        <f>IF(AC61&gt;0,Standing!$C$126*0.66,0)</f>
        <v>0</v>
      </c>
      <c r="BY61" s="284">
        <f>IF(AC61&gt;0,Standing!$C$126*0.66,0)</f>
        <v>0</v>
      </c>
      <c r="BZ61" s="280">
        <f>IF(AC61&gt;0,Standing!$C$126*0.375,0)</f>
        <v>0</v>
      </c>
      <c r="CA61" s="281">
        <f>IF(AC61&gt;0,Standing!$C$132,0)</f>
        <v>0</v>
      </c>
      <c r="CB61" s="282">
        <f>IF(AC61&gt;0,Standing!$C$132*0.75,0)</f>
        <v>0</v>
      </c>
      <c r="CC61" s="283">
        <f>IF(AC61&gt;0,Standing!$C$132,0)</f>
        <v>0</v>
      </c>
      <c r="CD61" s="284">
        <f>IF(AC61&gt;0,Standing!$C$132*0.66,0)</f>
        <v>0</v>
      </c>
      <c r="CE61" s="280">
        <f>IF(AC61&gt;0,Standing!$C$132*0.5,0)</f>
        <v>0</v>
      </c>
      <c r="CF61" s="281">
        <f>IF(AC61&gt;0,Standing!$C$132*0.75,0)</f>
        <v>0</v>
      </c>
      <c r="CG61" s="282">
        <f>IF(AC61&gt;0,Standing!$C$132*0.66,0)</f>
        <v>0</v>
      </c>
      <c r="CH61" s="283">
        <f>IF(AC61&gt;0,Standing!$C$132*0.75,0)</f>
        <v>0</v>
      </c>
      <c r="CI61" s="284">
        <f>IF(AC61&gt;0,Standing!$C$132*0.66,0)</f>
        <v>0</v>
      </c>
      <c r="CJ61" s="280">
        <f>IF(AC61&gt;0,Standing!$C$132*0.66,0)</f>
        <v>0</v>
      </c>
      <c r="CK61" s="281">
        <f>IF(AC61&gt;0,Standing!$C$126*0.75,0)</f>
        <v>0</v>
      </c>
      <c r="CL61" s="282">
        <f>IF(AC61&gt;0,Standing!$C$126,0)</f>
        <v>0</v>
      </c>
      <c r="CM61" s="283">
        <f>IF(AC61&gt;0,Standing!$C$126,0)</f>
        <v>0</v>
      </c>
      <c r="CN61" s="284">
        <f>IF(AC61&gt;0,Standing!$C$126*0.66,0)</f>
        <v>0</v>
      </c>
      <c r="CO61" s="280">
        <f>IF(AC61&gt;0,Standing!$C$126*0.4,0)</f>
        <v>0</v>
      </c>
      <c r="CP61" s="281">
        <f>IF(AC61&gt;0,Standing!$C$26*0.33,0)</f>
        <v>0</v>
      </c>
      <c r="CQ61" s="282">
        <f>IF(AC61&gt;0,Standing!$C$26*0.2,0)</f>
        <v>0</v>
      </c>
      <c r="CR61" s="283">
        <f>IF(AC61&gt;0,Standing!$C$26*0.25,0)</f>
        <v>0</v>
      </c>
      <c r="CS61" s="285">
        <f>IF(AC61&gt;0,Standing!$C$26*0.2,0)</f>
        <v>0</v>
      </c>
      <c r="CT61" s="286"/>
      <c r="CU61" s="286" t="s">
        <v>29</v>
      </c>
    </row>
    <row r="62" ht="15.75" customHeight="1">
      <c r="A62" s="51"/>
      <c r="B62" s="296" t="s">
        <v>517</v>
      </c>
      <c r="C62" s="189">
        <f>Standing!$C$26*0.198</f>
        <v>1.16691378</v>
      </c>
      <c r="D62" s="218">
        <f t="shared" si="3"/>
        <v>0.3714393238</v>
      </c>
      <c r="E62" s="190">
        <f t="shared" si="4"/>
        <v>29.63961</v>
      </c>
      <c r="F62" s="122">
        <f t="shared" si="5"/>
        <v>9.434558823</v>
      </c>
      <c r="G62" s="123">
        <f>C62/Introduction!$I$20</f>
        <v>0.01215535187</v>
      </c>
      <c r="H62" s="192">
        <f t="shared" si="6"/>
        <v>0.003869159622</v>
      </c>
      <c r="I62" s="124">
        <f>E62/Introduction!$I$20</f>
        <v>0.3087459375</v>
      </c>
      <c r="J62" s="125">
        <f t="shared" si="7"/>
        <v>0.09827665441</v>
      </c>
      <c r="K62" s="51"/>
      <c r="L62" s="51"/>
      <c r="M62" s="51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286" t="s">
        <v>39</v>
      </c>
      <c r="AB62" s="158" t="s">
        <v>24</v>
      </c>
      <c r="AC62" s="287">
        <f>IF('Ship Data Imperial'!E63&gt;0,'Ship Data Imperial'!E63,AD62)</f>
        <v>0</v>
      </c>
      <c r="AD62" s="287">
        <f>'Ship Data Metric'!E63*0.03280839895</f>
        <v>0</v>
      </c>
      <c r="AE62" s="284">
        <f>IF(AC62&gt;0,Standing!$C$75*0.45,0)</f>
        <v>0</v>
      </c>
      <c r="AF62" s="280">
        <f>IF(AC62&gt;0,Standing!$C$75*0.25,0)</f>
        <v>0</v>
      </c>
      <c r="AG62" s="281">
        <f>IF(AC62&gt;0,Standing!$C$75*0.165,0)</f>
        <v>0</v>
      </c>
      <c r="AH62" s="282">
        <f>IF(AC62&gt;0,Standing!$C$75*0.5,0)</f>
        <v>0</v>
      </c>
      <c r="AI62" s="283">
        <f>IF(AC62&gt;0,Standing!$C$75*0.16,0)</f>
        <v>0</v>
      </c>
      <c r="AJ62" s="284">
        <f>IF(AC62&gt;0,Standing!$C$75*0.2,0)</f>
        <v>0</v>
      </c>
      <c r="AK62" s="281">
        <f>IF(AC62&gt;0,Standing!$C$81*0.66,0)</f>
        <v>0</v>
      </c>
      <c r="AL62" s="282">
        <f t="shared" si="8"/>
        <v>0</v>
      </c>
      <c r="AM62" s="283">
        <f>IF(AC62&gt;0,Standing!$C$81*0.45,0)</f>
        <v>0</v>
      </c>
      <c r="AN62" s="284">
        <f>IF(AC62&gt;0,Standing!$C$81*0.55,0)</f>
        <v>0</v>
      </c>
      <c r="AO62" s="280">
        <f>IF(AC62&gt;0,Standing!$C$81*0.36,0)</f>
        <v>0</v>
      </c>
      <c r="AP62" s="281">
        <f>IF(AC62&gt;0,Standing!$C$81,0)</f>
        <v>0</v>
      </c>
      <c r="AQ62" s="282">
        <f>IF(AC62&gt;0,Standing!$C$85*0.9,0)</f>
        <v>0</v>
      </c>
      <c r="AR62" s="283">
        <f>IF(AC62&gt;0,Standing!$C$85*0.5,0)</f>
        <v>0</v>
      </c>
      <c r="AS62" s="284">
        <f>IF(AC62&gt;0,Standing!$C$85*0.66,0)</f>
        <v>0</v>
      </c>
      <c r="AT62" s="280">
        <f>IF(AC62&gt;0,Standing!$C$85*0.66,0)</f>
        <v>0</v>
      </c>
      <c r="AU62" s="281">
        <f>IF(AC62&gt;0,Standing!$C$75*0.2,0)</f>
        <v>0</v>
      </c>
      <c r="AV62" s="282">
        <f>IF(AC62&gt;0,Standing!$C$75*0.12,0)</f>
        <v>0</v>
      </c>
      <c r="AW62" s="283">
        <f>IF(AC62&gt;0,Standing!$C$26*0.4,0)</f>
        <v>0</v>
      </c>
      <c r="AX62" s="284">
        <f>IF(AC62&gt;0,Standing!$C$26*0.4,0)</f>
        <v>0</v>
      </c>
      <c r="AY62" s="280">
        <f>IF(AC62&gt;0,Standing!$C$26*0.2,0)</f>
        <v>0</v>
      </c>
      <c r="AZ62" s="281">
        <f>IF(AC62&gt;0,Standing!$C$26*0.33,0)</f>
        <v>0</v>
      </c>
      <c r="BA62" s="282">
        <f>IF(AC62&gt;0,Standing!$C$26*0.2,0)</f>
        <v>0</v>
      </c>
      <c r="BB62" s="283">
        <f>IF(AC62&gt;0,Standing!$C$26*0.2,0)</f>
        <v>0</v>
      </c>
      <c r="BC62" s="284">
        <f>IF(AC62&gt;0,Standing!$C$32*0.33,0)</f>
        <v>0</v>
      </c>
      <c r="BD62" s="280">
        <f>IF(AC62&gt;0,Standing!$C$32*0.5,0)</f>
        <v>0</v>
      </c>
      <c r="BE62" s="281">
        <f>IF(AC62&gt;0,Standing!$C$32*0.33,0)</f>
        <v>0</v>
      </c>
      <c r="BF62" s="282">
        <f>IF(AC62&gt;0,Standing!$C$32*0.33,0)</f>
        <v>0</v>
      </c>
      <c r="BG62" s="283">
        <f>IF(AC62&gt;0,Standing!$C$32*0.33,0)</f>
        <v>0</v>
      </c>
      <c r="BH62" s="284">
        <f>IF(AC62&gt;0,Standing!$C$32*0.33,0)</f>
        <v>0</v>
      </c>
      <c r="BI62" s="280">
        <f>IF(AC62&gt;0,Standing!$C$26*0.5,0)</f>
        <v>0</v>
      </c>
      <c r="BJ62" s="281">
        <f>IF(AC62&gt;0,Standing!$C$26*0.5,0)</f>
        <v>0</v>
      </c>
      <c r="BK62" s="282">
        <f>IF(AC62&gt;0,Standing!$C$26*0.5,0)</f>
        <v>0</v>
      </c>
      <c r="BL62" s="283">
        <f>IF(AC62&gt;0,Standing!$C$32*0.66,0)</f>
        <v>0</v>
      </c>
      <c r="BM62" s="281">
        <f>IF(AC62&gt;0,Standing!$C$32*0.9,0)</f>
        <v>0</v>
      </c>
      <c r="BN62" s="284">
        <f t="shared" si="9"/>
        <v>0</v>
      </c>
      <c r="BO62" s="282">
        <f>IF(AC62&gt;0,Standing!$C$32*0.5,0)</f>
        <v>0</v>
      </c>
      <c r="BP62" s="280">
        <f>IF(AC62&gt;0,Standing!$C$32*0.45,0)</f>
        <v>0</v>
      </c>
      <c r="BQ62" s="281">
        <f>IF(AC62&gt;0,Standing!$C$32*0.66,0)</f>
        <v>0</v>
      </c>
      <c r="BR62" s="282">
        <f>IF(AC62&gt;0,Standing!$C$32*0.33,0)</f>
        <v>0</v>
      </c>
      <c r="BS62" s="283">
        <f>IF(AC62&gt;0,Standing!$C$32*0.33,0)</f>
        <v>0</v>
      </c>
      <c r="BT62" s="284">
        <f>IF(AC62&gt;0,Standing!$C$32*0.3,0)</f>
        <v>0</v>
      </c>
      <c r="BU62" s="280">
        <f>IF(AC62&gt;0,Standing!$C$36*0.9,0)</f>
        <v>0</v>
      </c>
      <c r="BV62" s="281">
        <f>IF(AC62&gt;0,Standing!$C$36*0.45,0)</f>
        <v>0</v>
      </c>
      <c r="BW62" s="282">
        <f>IF(AC62&gt;0,Standing!$C$126*0.66,0)</f>
        <v>0</v>
      </c>
      <c r="BX62" s="283">
        <f>IF(AC62&gt;0,Standing!$C$126*0.66,0)</f>
        <v>0</v>
      </c>
      <c r="BY62" s="284">
        <f>IF(AC62&gt;0,Standing!$C$126*0.5,0)</f>
        <v>0</v>
      </c>
      <c r="BZ62" s="280">
        <f>IF(AC62&gt;0,Standing!$C$126*0.375,0)</f>
        <v>0</v>
      </c>
      <c r="CA62" s="281">
        <f>IF(AC62&gt;0,Standing!$C$132,0)</f>
        <v>0</v>
      </c>
      <c r="CB62" s="282">
        <f>IF(AC62&gt;0,Standing!$C$132*0.75,0)</f>
        <v>0</v>
      </c>
      <c r="CC62" s="283">
        <f>IF(AC62&gt;0,Standing!$C$132*0.66,0)</f>
        <v>0</v>
      </c>
      <c r="CD62" s="284">
        <f>IF(AC62&gt;0,Standing!$C$132*0.66,0)</f>
        <v>0</v>
      </c>
      <c r="CE62" s="280">
        <f>IF(AC62&gt;0,Standing!$C$132*0.4,0)</f>
        <v>0</v>
      </c>
      <c r="CF62" s="281">
        <f>IF(AC62&gt;0,Standing!$C$132*0.66,0)</f>
        <v>0</v>
      </c>
      <c r="CG62" s="282">
        <f>IF(AC62&gt;0,Standing!$C$132*0.66,0)</f>
        <v>0</v>
      </c>
      <c r="CH62" s="283">
        <f>IF(AC62&gt;0,Standing!$C$132*0.4,0)</f>
        <v>0</v>
      </c>
      <c r="CI62" s="284">
        <f>IF(AC62&gt;0,Standing!$C$132*0.4,0)</f>
        <v>0</v>
      </c>
      <c r="CJ62" s="280">
        <f>IF(AC62&gt;0,Standing!$C$132*0.66,0)</f>
        <v>0</v>
      </c>
      <c r="CK62" s="281">
        <f>IF(AC62&gt;0,Standing!$C$126*0.55,0)</f>
        <v>0</v>
      </c>
      <c r="CL62" s="282">
        <f>IF(AC62&gt;0,Standing!$C$126,0)</f>
        <v>0</v>
      </c>
      <c r="CM62" s="283">
        <f>IF(AC62&gt;0,Standing!$C$126*0.9,0)</f>
        <v>0</v>
      </c>
      <c r="CN62" s="284">
        <f>IF(AC62&gt;0,Standing!$C$126*0.55,0)</f>
        <v>0</v>
      </c>
      <c r="CO62" s="280">
        <f>IF(AC62&gt;0,Standing!$C$126*0.4,0)</f>
        <v>0</v>
      </c>
      <c r="CP62" s="281">
        <f>IF(AC62&gt;0,Standing!$C$26*0.25,0)</f>
        <v>0</v>
      </c>
      <c r="CQ62" s="282">
        <f>IF(AC62&gt;0,Standing!$C$26*0.165,0)</f>
        <v>0</v>
      </c>
      <c r="CR62" s="283">
        <f>IF(AC62&gt;0,Standing!$C$26*0.2,0)</f>
        <v>0</v>
      </c>
      <c r="CS62" s="285">
        <f>IF(AC62&gt;0,Standing!$C$26*0.16,0)</f>
        <v>0</v>
      </c>
      <c r="CT62" s="286" t="s">
        <v>39</v>
      </c>
      <c r="CU62" s="158" t="s">
        <v>24</v>
      </c>
    </row>
    <row r="63" ht="15.75" customHeight="1">
      <c r="A63" s="51"/>
      <c r="B63" s="296" t="s">
        <v>518</v>
      </c>
      <c r="C63" s="189">
        <f>Standing!$C$26*0.18</f>
        <v>1.060830709</v>
      </c>
      <c r="D63" s="218">
        <f t="shared" si="3"/>
        <v>0.3376721125</v>
      </c>
      <c r="E63" s="190">
        <f t="shared" si="4"/>
        <v>26.9451</v>
      </c>
      <c r="F63" s="122">
        <f t="shared" si="5"/>
        <v>8.576871658</v>
      </c>
      <c r="G63" s="123">
        <f>C63/Introduction!$I$20</f>
        <v>0.01105031988</v>
      </c>
      <c r="H63" s="192">
        <f t="shared" si="6"/>
        <v>0.003517417839</v>
      </c>
      <c r="I63" s="124">
        <f>E63/Introduction!$I$20</f>
        <v>0.280678125</v>
      </c>
      <c r="J63" s="125">
        <f t="shared" si="7"/>
        <v>0.0893424131</v>
      </c>
      <c r="K63" s="51"/>
      <c r="L63" s="51"/>
      <c r="M63" s="51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286"/>
      <c r="AB63" s="158" t="s">
        <v>25</v>
      </c>
      <c r="AC63" s="287">
        <f>IF('Ship Data Imperial'!E64&gt;0,'Ship Data Imperial'!E64,AD63)</f>
        <v>0</v>
      </c>
      <c r="AD63" s="287">
        <f>'Ship Data Metric'!E64*0.03280839895</f>
        <v>0</v>
      </c>
      <c r="AE63" s="284">
        <f>IF(AC63&gt;0,Standing!$C$75*0.45,0)</f>
        <v>0</v>
      </c>
      <c r="AF63" s="280">
        <f>IF(AC63&gt;0,Standing!$C$75*0.25,0)</f>
        <v>0</v>
      </c>
      <c r="AG63" s="281">
        <f>IF(AC63&gt;0,Standing!$C$75*0.165,0)</f>
        <v>0</v>
      </c>
      <c r="AH63" s="282">
        <f>IF(AC63&gt;0,Standing!$C$75*0.5,0)</f>
        <v>0</v>
      </c>
      <c r="AI63" s="283">
        <f>IF(AC63&gt;0,Standing!$C$75*0.16,0)</f>
        <v>0</v>
      </c>
      <c r="AJ63" s="284">
        <f>IF(AC63&gt;0,Standing!$C$75*0.2,0)</f>
        <v>0</v>
      </c>
      <c r="AK63" s="281">
        <f>IF(AC63&gt;0,Standing!$C$81*0.66,0)</f>
        <v>0</v>
      </c>
      <c r="AL63" s="282">
        <f t="shared" si="8"/>
        <v>0</v>
      </c>
      <c r="AM63" s="283">
        <f>IF(AC63&gt;0,Standing!$C$81*0.45,0)</f>
        <v>0</v>
      </c>
      <c r="AN63" s="284">
        <f>IF(AC63&gt;0,Standing!$C$81*0.55,0)</f>
        <v>0</v>
      </c>
      <c r="AO63" s="280">
        <f>IF(AC63&gt;0,Standing!$C$81*0.36,0)</f>
        <v>0</v>
      </c>
      <c r="AP63" s="281">
        <f>IF(AC63&gt;0,Standing!$C$81,0)</f>
        <v>0</v>
      </c>
      <c r="AQ63" s="282">
        <f>IF(AC63&gt;0,Standing!$C$85*0.9,0)</f>
        <v>0</v>
      </c>
      <c r="AR63" s="283">
        <f>IF(AC63&gt;0,Standing!$C$85*0.5,0)</f>
        <v>0</v>
      </c>
      <c r="AS63" s="284">
        <f>IF(AC63&gt;0,Standing!$C$85*0.66,0)</f>
        <v>0</v>
      </c>
      <c r="AT63" s="280">
        <f>IF(AC63&gt;0,Standing!$C$85*0.66,0)</f>
        <v>0</v>
      </c>
      <c r="AU63" s="281">
        <f>IF(AC63&gt;0,Standing!$C$75*0.2,0)</f>
        <v>0</v>
      </c>
      <c r="AV63" s="282">
        <f>IF(AC63&gt;0,Standing!$C$75*0.12,0)</f>
        <v>0</v>
      </c>
      <c r="AW63" s="283">
        <f>IF(AC63&gt;0,Standing!$C$26*0.4,0)</f>
        <v>0</v>
      </c>
      <c r="AX63" s="284">
        <f>IF(AC63&gt;0,Standing!$C$26*0.4,0)</f>
        <v>0</v>
      </c>
      <c r="AY63" s="280">
        <f>IF(AC63&gt;0,Standing!$C$26*0.2,0)</f>
        <v>0</v>
      </c>
      <c r="AZ63" s="281">
        <f>IF(AC63&gt;0,Standing!$C$26*0.33,0)</f>
        <v>0</v>
      </c>
      <c r="BA63" s="282">
        <f>IF(AC63&gt;0,Standing!$C$26*0.2,0)</f>
        <v>0</v>
      </c>
      <c r="BB63" s="283">
        <f>IF(AC63&gt;0,Standing!$C$26*0.2,0)</f>
        <v>0</v>
      </c>
      <c r="BC63" s="284">
        <f>IF(AC63&gt;0,Standing!$C$32*0.33,0)</f>
        <v>0</v>
      </c>
      <c r="BD63" s="280">
        <f>IF(AC63&gt;0,Standing!$C$32*0.5,0)</f>
        <v>0</v>
      </c>
      <c r="BE63" s="281">
        <f>IF(AC63&gt;0,Standing!$C$32*0.33,0)</f>
        <v>0</v>
      </c>
      <c r="BF63" s="282">
        <f>IF(AC63&gt;0,Standing!$C$32*0.33,0)</f>
        <v>0</v>
      </c>
      <c r="BG63" s="283">
        <f>IF(AC63&gt;0,Standing!$C$32*0.33,0)</f>
        <v>0</v>
      </c>
      <c r="BH63" s="284">
        <f>IF(AC63&gt;0,Standing!$C$32*0.33,0)</f>
        <v>0</v>
      </c>
      <c r="BI63" s="280">
        <f>IF(AC63&gt;0,Standing!$C$26*0.5,0)</f>
        <v>0</v>
      </c>
      <c r="BJ63" s="281">
        <f>IF(AC63&gt;0,Standing!$C$26*0.5,0)</f>
        <v>0</v>
      </c>
      <c r="BK63" s="282">
        <f>IF(AC63&gt;0,Standing!$C$26*0.5,0)</f>
        <v>0</v>
      </c>
      <c r="BL63" s="283">
        <f>IF(AC63&gt;0,Standing!$C$32*0.66,0)</f>
        <v>0</v>
      </c>
      <c r="BM63" s="281">
        <f>IF(AC63&gt;0,Standing!$C$32*0.9,0)</f>
        <v>0</v>
      </c>
      <c r="BN63" s="284">
        <f t="shared" si="9"/>
        <v>0</v>
      </c>
      <c r="BO63" s="282">
        <f>IF(AC63&gt;0,Standing!$C$32*0.5,0)</f>
        <v>0</v>
      </c>
      <c r="BP63" s="280">
        <f>IF(AC63&gt;0,Standing!$C$32*0.45,0)</f>
        <v>0</v>
      </c>
      <c r="BQ63" s="281">
        <f>IF(AC63&gt;0,Standing!$C$32*0.66,0)</f>
        <v>0</v>
      </c>
      <c r="BR63" s="282">
        <f>IF(AC63&gt;0,Standing!$C$32*0.33,0)</f>
        <v>0</v>
      </c>
      <c r="BS63" s="283">
        <f>IF(AC63&gt;0,Standing!$C$32*0.33,0)</f>
        <v>0</v>
      </c>
      <c r="BT63" s="284">
        <f>IF(AC63&gt;0,Standing!$C$32*0.3,0)</f>
        <v>0</v>
      </c>
      <c r="BU63" s="280">
        <f>IF(AC63&gt;0,Standing!$C$36*0.9,0)</f>
        <v>0</v>
      </c>
      <c r="BV63" s="281">
        <f>IF(AC63&gt;0,Standing!$C$36*0.45,0)</f>
        <v>0</v>
      </c>
      <c r="BW63" s="282">
        <f>IF(AC63&gt;0,Standing!$C$126*0.66,0)</f>
        <v>0</v>
      </c>
      <c r="BX63" s="283">
        <f>IF(AC63&gt;0,Standing!$C$126*0.66,0)</f>
        <v>0</v>
      </c>
      <c r="BY63" s="284">
        <f>IF(AC63&gt;0,Standing!$C$126*0.5,0)</f>
        <v>0</v>
      </c>
      <c r="BZ63" s="280">
        <f>IF(AC63&gt;0,Standing!$C$126*0.375,0)</f>
        <v>0</v>
      </c>
      <c r="CA63" s="281">
        <f>IF(AC63&gt;0,Standing!$C$132,0)</f>
        <v>0</v>
      </c>
      <c r="CB63" s="282">
        <f>IF(AC63&gt;0,Standing!$C$132*0.75,0)</f>
        <v>0</v>
      </c>
      <c r="CC63" s="283">
        <f>IF(AC63&gt;0,Standing!$C$132*0.66,0)</f>
        <v>0</v>
      </c>
      <c r="CD63" s="284">
        <f>IF(AC63&gt;0,Standing!$C$132*0.66,0)</f>
        <v>0</v>
      </c>
      <c r="CE63" s="280">
        <f>IF(AC63&gt;0,Standing!$C$132*0.4,0)</f>
        <v>0</v>
      </c>
      <c r="CF63" s="281">
        <f>IF(AC63&gt;0,Standing!$C$132*0.66,0)</f>
        <v>0</v>
      </c>
      <c r="CG63" s="282">
        <f>IF(AC63&gt;0,Standing!$C$132*0.66,0)</f>
        <v>0</v>
      </c>
      <c r="CH63" s="283">
        <f>IF(AC63&gt;0,Standing!$C$132*0.4,0)</f>
        <v>0</v>
      </c>
      <c r="CI63" s="284">
        <f>IF(AC63&gt;0,Standing!$C$132*0.4,0)</f>
        <v>0</v>
      </c>
      <c r="CJ63" s="280">
        <f>IF(AC63&gt;0,Standing!$C$132*0.66,0)</f>
        <v>0</v>
      </c>
      <c r="CK63" s="281">
        <f>IF(AC63&gt;0,Standing!$C$126*0.55,0)</f>
        <v>0</v>
      </c>
      <c r="CL63" s="282">
        <f>IF(AC63&gt;0,Standing!$C$126,0)</f>
        <v>0</v>
      </c>
      <c r="CM63" s="283">
        <f>IF(AC63&gt;0,Standing!$C$126*0.9,0)</f>
        <v>0</v>
      </c>
      <c r="CN63" s="284">
        <f>IF(AC63&gt;0,Standing!$C$126*0.55,0)</f>
        <v>0</v>
      </c>
      <c r="CO63" s="280">
        <f>IF(AC63&gt;0,Standing!$C$126*0.4,0)</f>
        <v>0</v>
      </c>
      <c r="CP63" s="281">
        <f>IF(AC63&gt;0,Standing!$C$26*0.25,0)</f>
        <v>0</v>
      </c>
      <c r="CQ63" s="282">
        <f>IF(AC63&gt;0,Standing!$C$26*0.165,0)</f>
        <v>0</v>
      </c>
      <c r="CR63" s="283">
        <f>IF(AC63&gt;0,Standing!$C$26*0.2,0)</f>
        <v>0</v>
      </c>
      <c r="CS63" s="285">
        <f>IF(AC63&gt;0,Standing!$C$26*0.16,0)</f>
        <v>0</v>
      </c>
      <c r="CT63" s="286"/>
      <c r="CU63" s="158" t="s">
        <v>25</v>
      </c>
    </row>
    <row r="64" ht="15.75" customHeight="1">
      <c r="A64" s="51"/>
      <c r="B64" s="296" t="s">
        <v>519</v>
      </c>
      <c r="C64" s="189">
        <f>IF(Standing!$C$26*0.14&gt;1,Standing!$C$26*0.14,1)</f>
        <v>1</v>
      </c>
      <c r="D64" s="218">
        <f t="shared" si="3"/>
        <v>0.3183091418</v>
      </c>
      <c r="E64" s="190">
        <f t="shared" si="4"/>
        <v>25.4</v>
      </c>
      <c r="F64" s="122">
        <f t="shared" si="5"/>
        <v>8.085052203</v>
      </c>
      <c r="G64" s="123">
        <f>C64/Introduction!$I$20</f>
        <v>0.01041666667</v>
      </c>
      <c r="H64" s="192">
        <f t="shared" si="6"/>
        <v>0.003315720227</v>
      </c>
      <c r="I64" s="124">
        <f>E64/Introduction!$I$20</f>
        <v>0.2645833333</v>
      </c>
      <c r="J64" s="125">
        <f t="shared" si="7"/>
        <v>0.08421929378</v>
      </c>
      <c r="K64" s="51"/>
      <c r="L64" s="51"/>
      <c r="M64" s="51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286"/>
      <c r="AB64" s="158" t="s">
        <v>40</v>
      </c>
      <c r="AC64" s="287">
        <f>IF('Ship Data Imperial'!E65&gt;0,'Ship Data Imperial'!E65,AD64)</f>
        <v>0</v>
      </c>
      <c r="AD64" s="287">
        <f>'Ship Data Metric'!E65*0.03280839895</f>
        <v>0</v>
      </c>
      <c r="AE64" s="284">
        <f>IF(AC64&gt;0,Standing!$C$75*0.45,0)</f>
        <v>0</v>
      </c>
      <c r="AF64" s="280">
        <f>IF(AC64&gt;0,Standing!$C$75*0.25,0)</f>
        <v>0</v>
      </c>
      <c r="AG64" s="281">
        <f>IF(AC64&gt;0,Standing!$C$75*0.2,0)</f>
        <v>0</v>
      </c>
      <c r="AH64" s="282">
        <f>IF(AC64&gt;0,Standing!$C$75*0.5,0)</f>
        <v>0</v>
      </c>
      <c r="AI64" s="283">
        <f>IF(AC64&gt;0,Standing!$C$75*0.2,0)</f>
        <v>0</v>
      </c>
      <c r="AJ64" s="284">
        <f>IF(AC64&gt;0,Standing!$C$75*0.25,0)</f>
        <v>0</v>
      </c>
      <c r="AK64" s="281">
        <f>IF(AC64&gt;0,Standing!$C$81*0.8,0)</f>
        <v>0</v>
      </c>
      <c r="AL64" s="282">
        <f t="shared" si="8"/>
        <v>0</v>
      </c>
      <c r="AM64" s="283">
        <f>IF(AC64&gt;0,Standing!$C$81*0.45,0)</f>
        <v>0</v>
      </c>
      <c r="AN64" s="284">
        <f>IF(AC64&gt;0,Standing!$C$81*0.55,0)</f>
        <v>0</v>
      </c>
      <c r="AO64" s="280">
        <f>IF(AC64&gt;0,Standing!$C$81*0.36,0)</f>
        <v>0</v>
      </c>
      <c r="AP64" s="281">
        <f>IF(AC64&gt;0,Standing!$C$81*0.9,0)</f>
        <v>0</v>
      </c>
      <c r="AQ64" s="282">
        <f>IF(AC64&gt;0,Standing!$C$85*0.9,0)</f>
        <v>0</v>
      </c>
      <c r="AR64" s="283">
        <f>IF(AC64&gt;0,Standing!$C$85*0.5,0)</f>
        <v>0</v>
      </c>
      <c r="AS64" s="284">
        <f>IF(AC64&gt;0,Standing!$C$85*0.66,0)</f>
        <v>0</v>
      </c>
      <c r="AT64" s="280">
        <f>IF(AC64&gt;0,Standing!$C$85*0.66,0)</f>
        <v>0</v>
      </c>
      <c r="AU64" s="281">
        <f>IF(AC64&gt;0,Standing!$C$75*0.2,0)</f>
        <v>0</v>
      </c>
      <c r="AV64" s="282">
        <f>IF(AC64&gt;0,Standing!$C$75*0.12,0)</f>
        <v>0</v>
      </c>
      <c r="AW64" s="283">
        <f>IF(AC64&gt;0,Standing!$C$26*0.4,0)</f>
        <v>0</v>
      </c>
      <c r="AX64" s="284">
        <f>IF(AC64&gt;0,Standing!$C$26*0.4,0)</f>
        <v>0</v>
      </c>
      <c r="AY64" s="280">
        <f>IF(AC64&gt;0,Standing!$C$26*0.2,0)</f>
        <v>0</v>
      </c>
      <c r="AZ64" s="281">
        <f>IF(AC64&gt;0,Standing!$C$26*0.33,0)</f>
        <v>0</v>
      </c>
      <c r="BA64" s="282">
        <f>IF(AC64&gt;0,Standing!$C$26*0.2,0)</f>
        <v>0</v>
      </c>
      <c r="BB64" s="283">
        <f>IF(AC64&gt;0,Standing!$C$26*0.2,0)</f>
        <v>0</v>
      </c>
      <c r="BC64" s="284">
        <f>IF(AC64&gt;0,Standing!$C$32*0.33,0)</f>
        <v>0</v>
      </c>
      <c r="BD64" s="280">
        <f>IF(AC64&gt;0,Standing!$C$32*0.5,0)</f>
        <v>0</v>
      </c>
      <c r="BE64" s="281">
        <f>IF(AC64&gt;0,Standing!$C$32*0.33,0)</f>
        <v>0</v>
      </c>
      <c r="BF64" s="282">
        <f>IF(AC64&gt;0,Standing!$C$32*0.33,0)</f>
        <v>0</v>
      </c>
      <c r="BG64" s="283">
        <f>IF(AC64&gt;0,Standing!$C$32*0.33,0)</f>
        <v>0</v>
      </c>
      <c r="BH64" s="284">
        <f>IF(AC64&gt;0,Standing!$C$32*0.4,0)</f>
        <v>0</v>
      </c>
      <c r="BI64" s="280">
        <f>IF(AC64&gt;0,Standing!$C$26*0.5,0)</f>
        <v>0</v>
      </c>
      <c r="BJ64" s="281">
        <f>IF(AC64&gt;0,Standing!$C$26*0.5,0)</f>
        <v>0</v>
      </c>
      <c r="BK64" s="282">
        <f>IF(AC64&gt;0,Standing!$C$26*0.5,0)</f>
        <v>0</v>
      </c>
      <c r="BL64" s="283">
        <f>IF(AC64&gt;0,Standing!$C$32*0.66,0)</f>
        <v>0</v>
      </c>
      <c r="BM64" s="281">
        <f>IF(AC64&gt;0,Standing!$C$32*0.85,0)</f>
        <v>0</v>
      </c>
      <c r="BN64" s="284">
        <f t="shared" si="9"/>
        <v>0</v>
      </c>
      <c r="BO64" s="282">
        <f>IF(AC64&gt;0,Standing!$C$32*0.5,0)</f>
        <v>0</v>
      </c>
      <c r="BP64" s="280">
        <f>IF(AC64&gt;0,Standing!$C$32*0.45,0)</f>
        <v>0</v>
      </c>
      <c r="BQ64" s="281">
        <f>IF(AC64&gt;0,Standing!$C$32*0.66,0)</f>
        <v>0</v>
      </c>
      <c r="BR64" s="282">
        <f>IF(AC64&gt;0,Standing!$C$32*0.33,0)</f>
        <v>0</v>
      </c>
      <c r="BS64" s="283">
        <f>IF(AC64&gt;0,Standing!$C$32*0.33,0)</f>
        <v>0</v>
      </c>
      <c r="BT64" s="284">
        <f>IF(AC64&gt;0,Standing!$C$32*0.3,0)</f>
        <v>0</v>
      </c>
      <c r="BU64" s="280">
        <f>IF(AC64&gt;0,Standing!$C$36*0.9,0)</f>
        <v>0</v>
      </c>
      <c r="BV64" s="281">
        <f>IF(AC64&gt;0,Standing!$C$36*0.45,0)</f>
        <v>0</v>
      </c>
      <c r="BW64" s="282">
        <f>IF(AC64&gt;0,Standing!$C$126*0.66,0)</f>
        <v>0</v>
      </c>
      <c r="BX64" s="283">
        <f>IF(AC64&gt;0,Standing!$C$126*0.66,0)</f>
        <v>0</v>
      </c>
      <c r="BY64" s="284">
        <f>IF(AC64&gt;0,Standing!$C$126*0.5,0)</f>
        <v>0</v>
      </c>
      <c r="BZ64" s="280">
        <f>IF(AC64&gt;0,Standing!$C$126*0.375,0)</f>
        <v>0</v>
      </c>
      <c r="CA64" s="281">
        <f>IF(AC64&gt;0,Standing!$C$132,0)</f>
        <v>0</v>
      </c>
      <c r="CB64" s="282">
        <f>IF(AC64&gt;0,Standing!$C$132*0.75,0)</f>
        <v>0</v>
      </c>
      <c r="CC64" s="283">
        <f>IF(AC64&gt;0,Standing!$C$132*0.66,0)</f>
        <v>0</v>
      </c>
      <c r="CD64" s="284">
        <f>IF(AC64&gt;0,Standing!$C$132*0.66,0)</f>
        <v>0</v>
      </c>
      <c r="CE64" s="280">
        <f>IF(AC64&gt;0,Standing!$C$132*0.4,0)</f>
        <v>0</v>
      </c>
      <c r="CF64" s="281">
        <f>IF(AC64&gt;0,Standing!$C$132*0.66,0)</f>
        <v>0</v>
      </c>
      <c r="CG64" s="282">
        <f>IF(AC64&gt;0,Standing!$C$132*0.66,0)</f>
        <v>0</v>
      </c>
      <c r="CH64" s="283">
        <f>IF(AC64&gt;0,Standing!$C$132*0.4,0)</f>
        <v>0</v>
      </c>
      <c r="CI64" s="284">
        <f>IF(AC64&gt;0,Standing!$C$132*0.4,0)</f>
        <v>0</v>
      </c>
      <c r="CJ64" s="280">
        <f>IF(AC64&gt;0,Standing!$C$132*0.66,0)</f>
        <v>0</v>
      </c>
      <c r="CK64" s="281">
        <f>IF(AC64&gt;0,Standing!$C$126*0.55,0)</f>
        <v>0</v>
      </c>
      <c r="CL64" s="282">
        <f>IF(AC64&gt;0,Standing!$C$126,0)</f>
        <v>0</v>
      </c>
      <c r="CM64" s="283">
        <f>IF(AC64&gt;0,Standing!$C$126*0.9,0)</f>
        <v>0</v>
      </c>
      <c r="CN64" s="284">
        <f>IF(AC64&gt;0,Standing!$C$126*0.55,0)</f>
        <v>0</v>
      </c>
      <c r="CO64" s="280">
        <f>IF(AC64&gt;0,Standing!$C$126*0.4,0)</f>
        <v>0</v>
      </c>
      <c r="CP64" s="281">
        <f>IF(AC64&gt;0,Standing!$C$26*0.25,0)</f>
        <v>0</v>
      </c>
      <c r="CQ64" s="282">
        <f>IF(AC64&gt;0,Standing!$C$26*0.2,0)</f>
        <v>0</v>
      </c>
      <c r="CR64" s="283">
        <f>IF(AC64&gt;0,Standing!$C$26*0.25,0)</f>
        <v>0</v>
      </c>
      <c r="CS64" s="285">
        <f>IF(AC64&gt;0,Standing!$C$26*0.2,0)</f>
        <v>0</v>
      </c>
      <c r="CT64" s="286"/>
      <c r="CU64" s="158" t="s">
        <v>40</v>
      </c>
    </row>
    <row r="65" ht="15.75" customHeight="1">
      <c r="A65" s="51"/>
      <c r="B65" s="296" t="s">
        <v>520</v>
      </c>
      <c r="C65" s="189">
        <f>Standing!$C$26*0.25</f>
        <v>1.473375984</v>
      </c>
      <c r="D65" s="218">
        <f t="shared" si="3"/>
        <v>0.4689890452</v>
      </c>
      <c r="E65" s="190">
        <f t="shared" si="4"/>
        <v>37.42375</v>
      </c>
      <c r="F65" s="122">
        <f t="shared" si="5"/>
        <v>11.91232175</v>
      </c>
      <c r="G65" s="123">
        <f>C65/Introduction!$I$20</f>
        <v>0.0153476665</v>
      </c>
      <c r="H65" s="192">
        <f t="shared" si="6"/>
        <v>0.004885302554</v>
      </c>
      <c r="I65" s="124">
        <f>E65/Introduction!$I$20</f>
        <v>0.3898307292</v>
      </c>
      <c r="J65" s="125">
        <f t="shared" si="7"/>
        <v>0.1240866849</v>
      </c>
      <c r="K65" s="51"/>
      <c r="L65" s="51"/>
      <c r="M65" s="51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286"/>
      <c r="AB65" s="158" t="s">
        <v>41</v>
      </c>
      <c r="AC65" s="287">
        <f>IF('Ship Data Imperial'!E66&gt;0,'Ship Data Imperial'!E66,AD65)</f>
        <v>0</v>
      </c>
      <c r="AD65" s="287">
        <f>'Ship Data Metric'!E66*0.03280839895</f>
        <v>0</v>
      </c>
      <c r="AE65" s="284">
        <f>IF(AC65&gt;0,Standing!$C$75*0.45,0)</f>
        <v>0</v>
      </c>
      <c r="AF65" s="280">
        <f>IF(AC65&gt;0,Standing!$C$75*0.25,0)</f>
        <v>0</v>
      </c>
      <c r="AG65" s="281">
        <f>IF(AC65&gt;0,Standing!$C$75*0.2,0)</f>
        <v>0</v>
      </c>
      <c r="AH65" s="282">
        <f>IF(AC65&gt;0,Standing!$C$75*0.5,0)</f>
        <v>0</v>
      </c>
      <c r="AI65" s="283">
        <f>IF(AC65&gt;0,Standing!$C$75*0.2,0)</f>
        <v>0</v>
      </c>
      <c r="AJ65" s="284">
        <f>IF(AC65&gt;0,Standing!$C$75*0.25,0)</f>
        <v>0</v>
      </c>
      <c r="AK65" s="281">
        <f>IF(AC65&gt;0,Standing!$C$81*0.8,0)</f>
        <v>0</v>
      </c>
      <c r="AL65" s="282">
        <f t="shared" si="8"/>
        <v>0</v>
      </c>
      <c r="AM65" s="283">
        <f>IF(AC65&gt;0,Standing!$C$81*0.45,0)</f>
        <v>0</v>
      </c>
      <c r="AN65" s="284">
        <f>IF(AC65&gt;0,Standing!$C$81*0.55,0)</f>
        <v>0</v>
      </c>
      <c r="AO65" s="280">
        <f>IF(AC65&gt;0,Standing!$C$81*0.36,0)</f>
        <v>0</v>
      </c>
      <c r="AP65" s="281">
        <f>IF(AC65&gt;0,Standing!$C$81*0.9,0)</f>
        <v>0</v>
      </c>
      <c r="AQ65" s="282">
        <f>IF(AC65&gt;0,Standing!$C$85*0.9,0)</f>
        <v>0</v>
      </c>
      <c r="AR65" s="283">
        <f>IF(AC65&gt;0,Standing!$C$85*0.5,0)</f>
        <v>0</v>
      </c>
      <c r="AS65" s="284">
        <f>IF(AC65&gt;0,Standing!$C$85*0.66,0)</f>
        <v>0</v>
      </c>
      <c r="AT65" s="280">
        <f>IF(AC65&gt;0,Standing!$C$85*0.66,0)</f>
        <v>0</v>
      </c>
      <c r="AU65" s="281">
        <f>IF(AC65&gt;0,Standing!$C$75*0.2,0)</f>
        <v>0</v>
      </c>
      <c r="AV65" s="282">
        <f>IF(AC65&gt;0,Standing!$C$75*0.12,0)</f>
        <v>0</v>
      </c>
      <c r="AW65" s="283">
        <f>IF(AC65&gt;0,Standing!$C$26*0.4,0)</f>
        <v>0</v>
      </c>
      <c r="AX65" s="284">
        <f>IF(AC65&gt;0,Standing!$C$26*0.4,0)</f>
        <v>0</v>
      </c>
      <c r="AY65" s="280">
        <f>IF(AC65&gt;0,Standing!$C$26*0.2,0)</f>
        <v>0</v>
      </c>
      <c r="AZ65" s="281">
        <f>IF(AC65&gt;0,Standing!$C$26*0.33,0)</f>
        <v>0</v>
      </c>
      <c r="BA65" s="282">
        <f>IF(AC65&gt;0,Standing!$C$26*0.2,0)</f>
        <v>0</v>
      </c>
      <c r="BB65" s="283">
        <f>IF(AC65&gt;0,Standing!$C$26*0.2,0)</f>
        <v>0</v>
      </c>
      <c r="BC65" s="284">
        <f>IF(AC65&gt;0,Standing!$C$32*0.33,0)</f>
        <v>0</v>
      </c>
      <c r="BD65" s="280">
        <f>IF(AC65&gt;0,Standing!$C$32*0.5,0)</f>
        <v>0</v>
      </c>
      <c r="BE65" s="281">
        <f>IF(AC65&gt;0,Standing!$C$32*0.33,0)</f>
        <v>0</v>
      </c>
      <c r="BF65" s="282">
        <f>IF(AC65&gt;0,Standing!$C$32*0.33,0)</f>
        <v>0</v>
      </c>
      <c r="BG65" s="283">
        <f>IF(AC65&gt;0,Standing!$C$32*0.33,0)</f>
        <v>0</v>
      </c>
      <c r="BH65" s="284">
        <f>IF(AC65&gt;0,Standing!$C$32*0.4,0)</f>
        <v>0</v>
      </c>
      <c r="BI65" s="280">
        <f>IF(AC65&gt;0,Standing!$C$26*0.5,0)</f>
        <v>0</v>
      </c>
      <c r="BJ65" s="281">
        <f>IF(AC65&gt;0,Standing!$C$26*0.5,0)</f>
        <v>0</v>
      </c>
      <c r="BK65" s="282">
        <f>IF(AC65&gt;0,Standing!$C$26*0.5,0)</f>
        <v>0</v>
      </c>
      <c r="BL65" s="283">
        <f>IF(AC65&gt;0,Standing!$C$32*0.66,0)</f>
        <v>0</v>
      </c>
      <c r="BM65" s="281">
        <f>IF(AC65&gt;0,Standing!$C$32*0.85,0)</f>
        <v>0</v>
      </c>
      <c r="BN65" s="284">
        <f t="shared" si="9"/>
        <v>0</v>
      </c>
      <c r="BO65" s="282">
        <f>IF(AC65&gt;0,Standing!$C$32*0.5,0)</f>
        <v>0</v>
      </c>
      <c r="BP65" s="280">
        <f>IF(AC65&gt;0,Standing!$C$32*0.45,0)</f>
        <v>0</v>
      </c>
      <c r="BQ65" s="281">
        <f>IF(AC65&gt;0,Standing!$C$32*0.66,0)</f>
        <v>0</v>
      </c>
      <c r="BR65" s="282">
        <f>IF(AC65&gt;0,Standing!$C$32*0.33,0)</f>
        <v>0</v>
      </c>
      <c r="BS65" s="283">
        <f>IF(AC65&gt;0,Standing!$C$32*0.33,0)</f>
        <v>0</v>
      </c>
      <c r="BT65" s="284">
        <f>IF(AC65&gt;0,Standing!$C$32*0.3,0)</f>
        <v>0</v>
      </c>
      <c r="BU65" s="280">
        <f>IF(AC65&gt;0,Standing!$C$36*0.9,0)</f>
        <v>0</v>
      </c>
      <c r="BV65" s="281">
        <f>IF(AC65&gt;0,Standing!$C$36*0.45,0)</f>
        <v>0</v>
      </c>
      <c r="BW65" s="282">
        <f>IF(AC65&gt;0,Standing!$C$126*0.66,0)</f>
        <v>0</v>
      </c>
      <c r="BX65" s="283">
        <f>IF(AC65&gt;0,Standing!$C$126*0.66,0)</f>
        <v>0</v>
      </c>
      <c r="BY65" s="284">
        <f>IF(AC65&gt;0,Standing!$C$126*0.5,0)</f>
        <v>0</v>
      </c>
      <c r="BZ65" s="280">
        <f>IF(AC65&gt;0,Standing!$C$126*0.375,0)</f>
        <v>0</v>
      </c>
      <c r="CA65" s="281">
        <f>IF(AC65&gt;0,Standing!$C$132,0)</f>
        <v>0</v>
      </c>
      <c r="CB65" s="282">
        <f>IF(AC65&gt;0,Standing!$C$132*0.75,0)</f>
        <v>0</v>
      </c>
      <c r="CC65" s="283">
        <f>IF(AC65&gt;0,Standing!$C$132*0.66,0)</f>
        <v>0</v>
      </c>
      <c r="CD65" s="284">
        <f>IF(AC65&gt;0,Standing!$C$132*0.66,0)</f>
        <v>0</v>
      </c>
      <c r="CE65" s="280">
        <f>IF(AC65&gt;0,Standing!$C$132*0.4,0)</f>
        <v>0</v>
      </c>
      <c r="CF65" s="281">
        <f>IF(AC65&gt;0,Standing!$C$132*0.66,0)</f>
        <v>0</v>
      </c>
      <c r="CG65" s="282">
        <f>IF(AC65&gt;0,Standing!$C$132*0.66,0)</f>
        <v>0</v>
      </c>
      <c r="CH65" s="283">
        <f>IF(AC65&gt;0,Standing!$C$132*0.4,0)</f>
        <v>0</v>
      </c>
      <c r="CI65" s="284">
        <f>IF(AC65&gt;0,Standing!$C$132*0.4,0)</f>
        <v>0</v>
      </c>
      <c r="CJ65" s="280">
        <f>IF(AC65&gt;0,Standing!$C$132*0.66,0)</f>
        <v>0</v>
      </c>
      <c r="CK65" s="281">
        <f>IF(AC65&gt;0,Standing!$C$126*0.55,0)</f>
        <v>0</v>
      </c>
      <c r="CL65" s="282">
        <f>IF(AC65&gt;0,Standing!$C$126,0)</f>
        <v>0</v>
      </c>
      <c r="CM65" s="283">
        <f>IF(AC65&gt;0,Standing!$C$126*0.9,0)</f>
        <v>0</v>
      </c>
      <c r="CN65" s="284">
        <f>IF(AC65&gt;0,Standing!$C$126*0.55,0)</f>
        <v>0</v>
      </c>
      <c r="CO65" s="280">
        <f>IF(AC65&gt;0,Standing!$C$126*0.4,0)</f>
        <v>0</v>
      </c>
      <c r="CP65" s="281">
        <f>IF(AC65&gt;0,Standing!$C$26*0.25,0)</f>
        <v>0</v>
      </c>
      <c r="CQ65" s="282">
        <f>IF(AC65&gt;0,Standing!$C$26*0.2,0)</f>
        <v>0</v>
      </c>
      <c r="CR65" s="283">
        <f>IF(AC65&gt;0,Standing!$C$26*0.25,0)</f>
        <v>0</v>
      </c>
      <c r="CS65" s="285">
        <f>IF(AC65&gt;0,Standing!$C$26*0.2,0)</f>
        <v>0</v>
      </c>
      <c r="CT65" s="286"/>
      <c r="CU65" s="158" t="s">
        <v>41</v>
      </c>
    </row>
    <row r="66" ht="15.75" customHeight="1">
      <c r="A66" s="51"/>
      <c r="B66" s="296" t="s">
        <v>521</v>
      </c>
      <c r="C66" s="189">
        <f>Standing!$C$26*0.4</f>
        <v>2.357401575</v>
      </c>
      <c r="D66" s="218">
        <f t="shared" si="3"/>
        <v>0.7503824722</v>
      </c>
      <c r="E66" s="190">
        <f t="shared" si="4"/>
        <v>59.878</v>
      </c>
      <c r="F66" s="122">
        <f t="shared" si="5"/>
        <v>19.05971479</v>
      </c>
      <c r="G66" s="123">
        <f>C66/Introduction!$I$20</f>
        <v>0.0245562664</v>
      </c>
      <c r="H66" s="192">
        <f t="shared" si="6"/>
        <v>0.007816484086</v>
      </c>
      <c r="I66" s="124">
        <f>E66/Introduction!$I$20</f>
        <v>0.6237291667</v>
      </c>
      <c r="J66" s="125">
        <f t="shared" si="7"/>
        <v>0.1985386958</v>
      </c>
      <c r="K66" s="51"/>
      <c r="L66" s="51"/>
      <c r="M66" s="51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286"/>
      <c r="AB66" s="158" t="s">
        <v>42</v>
      </c>
      <c r="AC66" s="287">
        <f>IF('Ship Data Imperial'!E67&gt;0,'Ship Data Imperial'!E67,AD66)</f>
        <v>0</v>
      </c>
      <c r="AD66" s="287">
        <f>'Ship Data Metric'!E67*0.03280839895</f>
        <v>0</v>
      </c>
      <c r="AE66" s="284">
        <f>IF(AC66&gt;0,Standing!$C$75*0.45,0)</f>
        <v>0</v>
      </c>
      <c r="AF66" s="280">
        <f>IF(AC66&gt;0,Standing!$C$75*0.33,0)</f>
        <v>0</v>
      </c>
      <c r="AG66" s="281">
        <f>IF(AC66&gt;0,Standing!$C$75*0.2,0)</f>
        <v>0</v>
      </c>
      <c r="AH66" s="282">
        <f>IF(AC66&gt;0,Standing!$C$75*0.5,0)</f>
        <v>0</v>
      </c>
      <c r="AI66" s="283">
        <f>IF(AC66&gt;0,Standing!$C$75*0.2,0)</f>
        <v>0</v>
      </c>
      <c r="AJ66" s="284">
        <f>IF(AC66&gt;0,Standing!$C$75*0.25,0)</f>
        <v>0</v>
      </c>
      <c r="AK66" s="281">
        <f>IF(AC66&gt;0,Standing!$C$81*0.8,0)</f>
        <v>0</v>
      </c>
      <c r="AL66" s="282">
        <f t="shared" si="8"/>
        <v>0</v>
      </c>
      <c r="AM66" s="283">
        <f>IF(AC66&gt;0,Standing!$C$81*0.45,0)</f>
        <v>0</v>
      </c>
      <c r="AN66" s="284">
        <f>IF(AC66&gt;0,Standing!$C$81*0.55,0)</f>
        <v>0</v>
      </c>
      <c r="AO66" s="280">
        <f>IF(AC66&gt;0,Standing!$C$81*0.36,0)</f>
        <v>0</v>
      </c>
      <c r="AP66" s="281">
        <f>IF(AC66&gt;0,Standing!$C$81*0.9,0)</f>
        <v>0</v>
      </c>
      <c r="AQ66" s="282">
        <f>IF(AC66&gt;0,Standing!$C$85*0.9,0)</f>
        <v>0</v>
      </c>
      <c r="AR66" s="283">
        <f>IF(AC66&gt;0,Standing!$C$85*0.5,0)</f>
        <v>0</v>
      </c>
      <c r="AS66" s="284">
        <f>IF(AC66&gt;0,Standing!$C$85*0.66,0)</f>
        <v>0</v>
      </c>
      <c r="AT66" s="280">
        <f>IF(AC66&gt;0,Standing!$C$85*0.66,0)</f>
        <v>0</v>
      </c>
      <c r="AU66" s="281">
        <f>IF(AC66&gt;0,Standing!$C$75*0.25,0)</f>
        <v>0</v>
      </c>
      <c r="AV66" s="282">
        <f>IF(AC66&gt;0,Standing!$C$75*0.12,0)</f>
        <v>0</v>
      </c>
      <c r="AW66" s="283">
        <f>IF(AC66&gt;0,Standing!$C$26*0.4,0)</f>
        <v>0</v>
      </c>
      <c r="AX66" s="284">
        <f>IF(AC66&gt;0,Standing!$C$26*0.4,0)</f>
        <v>0</v>
      </c>
      <c r="AY66" s="280">
        <f>IF(AC66&gt;0,Standing!$C$26*0.2,0)</f>
        <v>0</v>
      </c>
      <c r="AZ66" s="281">
        <f>IF(AC66&gt;0,Standing!$C$26*0.33,0)</f>
        <v>0</v>
      </c>
      <c r="BA66" s="282">
        <f>IF(AC66&gt;0,Standing!$C$26*0.2,0)</f>
        <v>0</v>
      </c>
      <c r="BB66" s="283">
        <f>IF(AC66&gt;0,Standing!$C$26*0.2,0)</f>
        <v>0</v>
      </c>
      <c r="BC66" s="284">
        <f>IF(AC66&gt;0,Standing!$C$32*0.33,0)</f>
        <v>0</v>
      </c>
      <c r="BD66" s="280">
        <f>IF(AC66&gt;0,Standing!$C$32*0.5,0)</f>
        <v>0</v>
      </c>
      <c r="BE66" s="281">
        <f>IF(AC66&gt;0,Standing!$C$32*0.33,0)</f>
        <v>0</v>
      </c>
      <c r="BF66" s="282">
        <f>IF(AC66&gt;0,Standing!$C$32*0.33,0)</f>
        <v>0</v>
      </c>
      <c r="BG66" s="283">
        <f>IF(AC66&gt;0,Standing!$C$32*0.33,0)</f>
        <v>0</v>
      </c>
      <c r="BH66" s="284">
        <f>IF(AC66&gt;0,Standing!$C$32*0.4,0)</f>
        <v>0</v>
      </c>
      <c r="BI66" s="280">
        <f>IF(AC66&gt;0,Standing!$C$26*0.5,0)</f>
        <v>0</v>
      </c>
      <c r="BJ66" s="281">
        <f>IF(AC66&gt;0,Standing!$C$26*0.5,0)</f>
        <v>0</v>
      </c>
      <c r="BK66" s="282">
        <f>IF(AC66&gt;0,Standing!$C$26*0.5,0)</f>
        <v>0</v>
      </c>
      <c r="BL66" s="283">
        <f>IF(AC66&gt;0,Standing!$C$32*0.66,0)</f>
        <v>0</v>
      </c>
      <c r="BM66" s="281">
        <f>IF(AC66&gt;0,Standing!$C$32*0.85,0)</f>
        <v>0</v>
      </c>
      <c r="BN66" s="284">
        <f t="shared" si="9"/>
        <v>0</v>
      </c>
      <c r="BO66" s="282">
        <f>IF(AC66&gt;0,Standing!$C$32*0.45,0)</f>
        <v>0</v>
      </c>
      <c r="BP66" s="280">
        <f>IF(AC66&gt;0,Standing!$C$32*0.45,0)</f>
        <v>0</v>
      </c>
      <c r="BQ66" s="281">
        <f>IF(AC66&gt;0,Standing!$C$32*0.66,0)</f>
        <v>0</v>
      </c>
      <c r="BR66" s="282">
        <f>IF(AC66&gt;0,Standing!$C$32*0.33,0)</f>
        <v>0</v>
      </c>
      <c r="BS66" s="283">
        <f>IF(AC66&gt;0,Standing!$C$32*0.33,0)</f>
        <v>0</v>
      </c>
      <c r="BT66" s="284">
        <f>IF(AC66&gt;0,Standing!$C$32*0.3,0)</f>
        <v>0</v>
      </c>
      <c r="BU66" s="280">
        <f>IF(AC66&gt;0,Standing!$C$36*0.9,0)</f>
        <v>0</v>
      </c>
      <c r="BV66" s="281">
        <f>IF(AC66&gt;0,Standing!$C$36*0.45,0)</f>
        <v>0</v>
      </c>
      <c r="BW66" s="282">
        <f>IF(AC66&gt;0,Standing!$C$126*0.66,0)</f>
        <v>0</v>
      </c>
      <c r="BX66" s="283">
        <f>IF(AC66&gt;0,Standing!$C$126*0.66,0)</f>
        <v>0</v>
      </c>
      <c r="BY66" s="284">
        <f>IF(AC66&gt;0,Standing!$C$126*0.5,0)</f>
        <v>0</v>
      </c>
      <c r="BZ66" s="280">
        <f>IF(AC66&gt;0,Standing!$C$126*0.375,0)</f>
        <v>0</v>
      </c>
      <c r="CA66" s="281">
        <f>IF(AC66&gt;0,Standing!$C$132,0)</f>
        <v>0</v>
      </c>
      <c r="CB66" s="282">
        <f>IF(AC66&gt;0,Standing!$C$132*0.75,0)</f>
        <v>0</v>
      </c>
      <c r="CC66" s="283">
        <f>IF(AC66&gt;0,Standing!$C$132*0.66,0)</f>
        <v>0</v>
      </c>
      <c r="CD66" s="284">
        <f>IF(AC66&gt;0,Standing!$C$132*0.66,0)</f>
        <v>0</v>
      </c>
      <c r="CE66" s="280">
        <f>IF(AC66&gt;0,Standing!$C$132*0.5,0)</f>
        <v>0</v>
      </c>
      <c r="CF66" s="281">
        <f>IF(AC66&gt;0,Standing!$C$132*0.66,0)</f>
        <v>0</v>
      </c>
      <c r="CG66" s="282">
        <f>IF(AC66&gt;0,Standing!$C$132*0.66,0)</f>
        <v>0</v>
      </c>
      <c r="CH66" s="283">
        <f>IF(AC66&gt;0,Standing!$C$132*0.4,0)</f>
        <v>0</v>
      </c>
      <c r="CI66" s="284">
        <f>IF(AC66&gt;0,Standing!$C$132*0.4,0)</f>
        <v>0</v>
      </c>
      <c r="CJ66" s="280">
        <f>IF(AC66&gt;0,Standing!$C$132*0.66,0)</f>
        <v>0</v>
      </c>
      <c r="CK66" s="281">
        <f>IF(AC66&gt;0,Standing!$C$126*0.55,0)</f>
        <v>0</v>
      </c>
      <c r="CL66" s="282">
        <f>IF(AC66&gt;0,Standing!$C$126,0)</f>
        <v>0</v>
      </c>
      <c r="CM66" s="283">
        <f>IF(AC66&gt;0,Standing!$C$126*0.9,0)</f>
        <v>0</v>
      </c>
      <c r="CN66" s="284">
        <f>IF(AC66&gt;0,Standing!$C$126*0.55,0)</f>
        <v>0</v>
      </c>
      <c r="CO66" s="280">
        <f>IF(AC66&gt;0,Standing!$C$126*0.4,0)</f>
        <v>0</v>
      </c>
      <c r="CP66" s="281">
        <f>IF(AC66&gt;0,Standing!$C$26*0.33,0)</f>
        <v>0</v>
      </c>
      <c r="CQ66" s="282">
        <f>IF(AC66&gt;0,Standing!$C$26*0.2,0)</f>
        <v>0</v>
      </c>
      <c r="CR66" s="283">
        <f>IF(AC66&gt;0,Standing!$C$26*0.25,0)</f>
        <v>0</v>
      </c>
      <c r="CS66" s="285">
        <f>IF(AC66&gt;0,Standing!$C$26*0.2,0)</f>
        <v>0</v>
      </c>
      <c r="CT66" s="286"/>
      <c r="CU66" s="158" t="s">
        <v>42</v>
      </c>
    </row>
    <row r="67" ht="15.75" customHeight="1">
      <c r="A67" s="51"/>
      <c r="B67" s="296" t="s">
        <v>522</v>
      </c>
      <c r="C67" s="189">
        <f>BK136</f>
        <v>2.946751968</v>
      </c>
      <c r="D67" s="218">
        <f t="shared" si="3"/>
        <v>0.9379780903</v>
      </c>
      <c r="E67" s="190">
        <f t="shared" si="4"/>
        <v>74.8475</v>
      </c>
      <c r="F67" s="122">
        <f t="shared" si="5"/>
        <v>23.82464349</v>
      </c>
      <c r="G67" s="123">
        <f>C67/Introduction!$I$20</f>
        <v>0.03069533301</v>
      </c>
      <c r="H67" s="192">
        <f t="shared" si="6"/>
        <v>0.009770605107</v>
      </c>
      <c r="I67" s="124">
        <f>E67/Introduction!$I$20</f>
        <v>0.7796614583</v>
      </c>
      <c r="J67" s="125">
        <f t="shared" si="7"/>
        <v>0.2481733697</v>
      </c>
      <c r="K67" s="51"/>
      <c r="L67" s="51"/>
      <c r="M67" s="51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286"/>
      <c r="AB67" s="158" t="s">
        <v>43</v>
      </c>
      <c r="AC67" s="287">
        <f>IF('Ship Data Imperial'!E68&gt;0,'Ship Data Imperial'!E68,AD67)</f>
        <v>0</v>
      </c>
      <c r="AD67" s="287">
        <f>'Ship Data Metric'!E68*0.03280839895</f>
        <v>0</v>
      </c>
      <c r="AE67" s="284">
        <f>IF(AC67&gt;0,Standing!$C$75*0.45,0)</f>
        <v>0</v>
      </c>
      <c r="AF67" s="280">
        <f>IF(AC67&gt;0,Standing!$C$75*0.33,0)</f>
        <v>0</v>
      </c>
      <c r="AG67" s="281">
        <f>IF(AC67&gt;0,Standing!$C$75*0.2,0)</f>
        <v>0</v>
      </c>
      <c r="AH67" s="282">
        <f>IF(AC67&gt;0,Standing!$C$75*0.5,0)</f>
        <v>0</v>
      </c>
      <c r="AI67" s="283">
        <f>IF(AC67&gt;0,Standing!$C$75*0.2,0)</f>
        <v>0</v>
      </c>
      <c r="AJ67" s="284">
        <f>IF(AC67&gt;0,Standing!$C$75*0.25,0)</f>
        <v>0</v>
      </c>
      <c r="AK67" s="281">
        <f>IF(AC67&gt;0,Standing!$C$81*0.8,0)</f>
        <v>0</v>
      </c>
      <c r="AL67" s="282">
        <f t="shared" si="8"/>
        <v>0</v>
      </c>
      <c r="AM67" s="283">
        <f>IF(AC67&gt;0,Standing!$C$81*0.45,0)</f>
        <v>0</v>
      </c>
      <c r="AN67" s="284">
        <f>IF(AC67&gt;0,Standing!$C$81*0.55,0)</f>
        <v>0</v>
      </c>
      <c r="AO67" s="280">
        <f>IF(AC67&gt;0,Standing!$C$81*0.36,0)</f>
        <v>0</v>
      </c>
      <c r="AP67" s="281">
        <f>IF(AC67&gt;0,Standing!$C$81*0.9,0)</f>
        <v>0</v>
      </c>
      <c r="AQ67" s="282">
        <f>IF(AC67&gt;0,Standing!$C$85*0.9,0)</f>
        <v>0</v>
      </c>
      <c r="AR67" s="283">
        <f>IF(AC67&gt;0,Standing!$C$85*0.5,0)</f>
        <v>0</v>
      </c>
      <c r="AS67" s="284">
        <f>IF(AC67&gt;0,Standing!$C$85*0.66,0)</f>
        <v>0</v>
      </c>
      <c r="AT67" s="280">
        <f>IF(AC67&gt;0,Standing!$C$85*0.66,0)</f>
        <v>0</v>
      </c>
      <c r="AU67" s="281">
        <f>IF(AC67&gt;0,Standing!$C$75*0.25,0)</f>
        <v>0</v>
      </c>
      <c r="AV67" s="282">
        <f>IF(AC67&gt;0,Standing!$C$75*0.12,0)</f>
        <v>0</v>
      </c>
      <c r="AW67" s="283">
        <f>IF(AC67&gt;0,Standing!$C$26*0.4,0)</f>
        <v>0</v>
      </c>
      <c r="AX67" s="284">
        <f>IF(AC67&gt;0,Standing!$C$26*0.4,0)</f>
        <v>0</v>
      </c>
      <c r="AY67" s="280">
        <f>IF(AC67&gt;0,Standing!$C$26*0.2,0)</f>
        <v>0</v>
      </c>
      <c r="AZ67" s="281">
        <f>IF(AC67&gt;0,Standing!$C$26*0.33,0)</f>
        <v>0</v>
      </c>
      <c r="BA67" s="282">
        <f>IF(AC67&gt;0,Standing!$C$26*0.2,0)</f>
        <v>0</v>
      </c>
      <c r="BB67" s="283">
        <f>IF(AC67&gt;0,Standing!$C$26*0.2,0)</f>
        <v>0</v>
      </c>
      <c r="BC67" s="284">
        <f>IF(AC67&gt;0,Standing!$C$32*0.33,0)</f>
        <v>0</v>
      </c>
      <c r="BD67" s="280">
        <f>IF(AC67&gt;0,Standing!$C$32*0.5,0)</f>
        <v>0</v>
      </c>
      <c r="BE67" s="281">
        <f>IF(AC67&gt;0,Standing!$C$32*0.33,0)</f>
        <v>0</v>
      </c>
      <c r="BF67" s="282">
        <f>IF(AC67&gt;0,Standing!$C$32*0.33,0)</f>
        <v>0</v>
      </c>
      <c r="BG67" s="283">
        <f>IF(AC67&gt;0,Standing!$C$32*0.33,0)</f>
        <v>0</v>
      </c>
      <c r="BH67" s="284">
        <f>IF(AC67&gt;0,Standing!$C$32*0.4,0)</f>
        <v>0</v>
      </c>
      <c r="BI67" s="280">
        <f>IF(AC67&gt;0,Standing!$C$26*0.5,0)</f>
        <v>0</v>
      </c>
      <c r="BJ67" s="281">
        <f>IF(AC67&gt;0,Standing!$C$26*0.5,0)</f>
        <v>0</v>
      </c>
      <c r="BK67" s="282">
        <f>IF(AC67&gt;0,Standing!$C$26*0.5,0)</f>
        <v>0</v>
      </c>
      <c r="BL67" s="283">
        <f>IF(AC67&gt;0,Standing!$C$32*0.66,0)</f>
        <v>0</v>
      </c>
      <c r="BM67" s="281">
        <f>IF(AC67&gt;0,Standing!$C$32*0.85,0)</f>
        <v>0</v>
      </c>
      <c r="BN67" s="284">
        <f t="shared" si="9"/>
        <v>0</v>
      </c>
      <c r="BO67" s="282">
        <f>IF(AC67&gt;0,Standing!$C$32*0.45,0)</f>
        <v>0</v>
      </c>
      <c r="BP67" s="280">
        <f>IF(AC67&gt;0,Standing!$C$32*0.45,0)</f>
        <v>0</v>
      </c>
      <c r="BQ67" s="281">
        <f>IF(AC67&gt;0,Standing!$C$32*0.66,0)</f>
        <v>0</v>
      </c>
      <c r="BR67" s="282">
        <f>IF(AC67&gt;0,Standing!$C$32*0.33,0)</f>
        <v>0</v>
      </c>
      <c r="BS67" s="283">
        <f>IF(AC67&gt;0,Standing!$C$32*0.33,0)</f>
        <v>0</v>
      </c>
      <c r="BT67" s="284">
        <f>IF(AC67&gt;0,Standing!$C$32*0.3,0)</f>
        <v>0</v>
      </c>
      <c r="BU67" s="280">
        <f>IF(AC67&gt;0,Standing!$C$36*0.9,0)</f>
        <v>0</v>
      </c>
      <c r="BV67" s="281">
        <f>IF(AC67&gt;0,Standing!$C$36*0.45,0)</f>
        <v>0</v>
      </c>
      <c r="BW67" s="282">
        <f>IF(AC67&gt;0,Standing!$C$126*0.66,0)</f>
        <v>0</v>
      </c>
      <c r="BX67" s="283">
        <f>IF(AC67&gt;0,Standing!$C$126*0.66,0)</f>
        <v>0</v>
      </c>
      <c r="BY67" s="284">
        <f>IF(AC67&gt;0,Standing!$C$126*0.5,0)</f>
        <v>0</v>
      </c>
      <c r="BZ67" s="280">
        <f>IF(AC67&gt;0,Standing!$C$126*0.375,0)</f>
        <v>0</v>
      </c>
      <c r="CA67" s="281">
        <f>IF(AC67&gt;0,Standing!$C$132,0)</f>
        <v>0</v>
      </c>
      <c r="CB67" s="282">
        <f>IF(AC67&gt;0,Standing!$C$132*0.75,0)</f>
        <v>0</v>
      </c>
      <c r="CC67" s="283">
        <f>IF(AC67&gt;0,Standing!$C$132*0.66,0)</f>
        <v>0</v>
      </c>
      <c r="CD67" s="284">
        <f>IF(AC67&gt;0,Standing!$C$132*0.66,0)</f>
        <v>0</v>
      </c>
      <c r="CE67" s="280">
        <f>IF(AC67&gt;0,Standing!$C$132*0.5,0)</f>
        <v>0</v>
      </c>
      <c r="CF67" s="281">
        <f>IF(AC67&gt;0,Standing!$C$132*0.66,0)</f>
        <v>0</v>
      </c>
      <c r="CG67" s="282">
        <f>IF(AC67&gt;0,Standing!$C$132*0.66,0)</f>
        <v>0</v>
      </c>
      <c r="CH67" s="283">
        <f>IF(AC67&gt;0,Standing!$C$132*0.4,0)</f>
        <v>0</v>
      </c>
      <c r="CI67" s="284">
        <f>IF(AC67&gt;0,Standing!$C$132*0.4,0)</f>
        <v>0</v>
      </c>
      <c r="CJ67" s="280">
        <f>IF(AC67&gt;0,Standing!$C$132*0.66,0)</f>
        <v>0</v>
      </c>
      <c r="CK67" s="281">
        <f>IF(AC67&gt;0,Standing!$C$126*0.55,0)</f>
        <v>0</v>
      </c>
      <c r="CL67" s="282">
        <f>IF(AC67&gt;0,Standing!$C$126,0)</f>
        <v>0</v>
      </c>
      <c r="CM67" s="283">
        <f>IF(AC67&gt;0,Standing!$C$126*0.9,0)</f>
        <v>0</v>
      </c>
      <c r="CN67" s="284">
        <f>IF(AC67&gt;0,Standing!$C$126*0.55,0)</f>
        <v>0</v>
      </c>
      <c r="CO67" s="280">
        <f>IF(AC67&gt;0,Standing!$C$126*0.4,0)</f>
        <v>0</v>
      </c>
      <c r="CP67" s="281">
        <f>IF(AC67&gt;0,Standing!$C$26*0.33,0)</f>
        <v>0</v>
      </c>
      <c r="CQ67" s="282">
        <f>IF(AC67&gt;0,Standing!$C$26*0.2,0)</f>
        <v>0</v>
      </c>
      <c r="CR67" s="283">
        <f>IF(AC67&gt;0,Standing!$C$26*0.25,0)</f>
        <v>0</v>
      </c>
      <c r="CS67" s="285">
        <f>IF(AC67&gt;0,Standing!$C$26*0.2,0)</f>
        <v>0</v>
      </c>
      <c r="CT67" s="286"/>
      <c r="CU67" s="158" t="s">
        <v>43</v>
      </c>
    </row>
    <row r="68" ht="15.75" customHeight="1">
      <c r="A68" s="51"/>
      <c r="B68" s="296" t="s">
        <v>523</v>
      </c>
      <c r="C68" s="189">
        <f>Standing!$C$26*0.25</f>
        <v>1.473375984</v>
      </c>
      <c r="D68" s="218">
        <f t="shared" si="3"/>
        <v>0.4689890452</v>
      </c>
      <c r="E68" s="190">
        <f t="shared" si="4"/>
        <v>37.42375</v>
      </c>
      <c r="F68" s="122">
        <f t="shared" si="5"/>
        <v>11.91232175</v>
      </c>
      <c r="G68" s="123">
        <f>C68/Introduction!$I$20</f>
        <v>0.0153476665</v>
      </c>
      <c r="H68" s="192">
        <f t="shared" si="6"/>
        <v>0.004885302554</v>
      </c>
      <c r="I68" s="124">
        <f>E68/Introduction!$I$20</f>
        <v>0.3898307292</v>
      </c>
      <c r="J68" s="125">
        <f t="shared" si="7"/>
        <v>0.1240866849</v>
      </c>
      <c r="K68" s="51"/>
      <c r="L68" s="51"/>
      <c r="M68" s="51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286"/>
      <c r="AB68" s="158" t="s">
        <v>44</v>
      </c>
      <c r="AC68" s="287">
        <f>IF('Ship Data Imperial'!E69&gt;0,'Ship Data Imperial'!E69,AD68)</f>
        <v>0</v>
      </c>
      <c r="AD68" s="287">
        <f>'Ship Data Metric'!E69*0.03280839895</f>
        <v>0</v>
      </c>
      <c r="AE68" s="284">
        <f>IF(AC68&gt;0,Standing!$C$75*0.65,0)</f>
        <v>0</v>
      </c>
      <c r="AF68" s="280">
        <f>IF(AC68&gt;0,Standing!$C$75*0.33,0)</f>
        <v>0</v>
      </c>
      <c r="AG68" s="281">
        <f>IF(AC68&gt;0,Standing!$C$75*0.2,0)</f>
        <v>0</v>
      </c>
      <c r="AH68" s="282">
        <f>IF(AC68&gt;0,Standing!$C$75*0.5,0)</f>
        <v>0</v>
      </c>
      <c r="AI68" s="283">
        <f>IF(AC68&gt;0,Standing!$C$75*0.2,0)</f>
        <v>0</v>
      </c>
      <c r="AJ68" s="284">
        <f>IF(AC68&gt;0,Standing!$C$75*0.25,0)</f>
        <v>0</v>
      </c>
      <c r="AK68" s="281">
        <f>IF(AC68&gt;0,Standing!$C$81*0.8,0)</f>
        <v>0</v>
      </c>
      <c r="AL68" s="282">
        <f t="shared" si="8"/>
        <v>0</v>
      </c>
      <c r="AM68" s="283">
        <f>IF(AC68&gt;0,Standing!$C$81*0.45,0)</f>
        <v>0</v>
      </c>
      <c r="AN68" s="284">
        <f>IF(AC68&gt;0,Standing!$C$81*0.55,0)</f>
        <v>0</v>
      </c>
      <c r="AO68" s="280">
        <f>IF(AC68&gt;0,Standing!$C$81*0.36,0)</f>
        <v>0</v>
      </c>
      <c r="AP68" s="281">
        <f>IF(AC68&gt;0,Standing!$C$81*0.9,0)</f>
        <v>0</v>
      </c>
      <c r="AQ68" s="282">
        <f>IF(AC68&gt;0,Standing!$C$85*0.9,0)</f>
        <v>0</v>
      </c>
      <c r="AR68" s="283">
        <f>IF(AC68&gt;0,Standing!$C$85*0.5,0)</f>
        <v>0</v>
      </c>
      <c r="AS68" s="284">
        <f>IF(AC68&gt;0,Standing!$C$85*0.66,0)</f>
        <v>0</v>
      </c>
      <c r="AT68" s="280">
        <f>IF(AC68&gt;0,Standing!$C$85*0.66,0)</f>
        <v>0</v>
      </c>
      <c r="AU68" s="281">
        <f>IF(AC68&gt;0,Standing!$C$75*0.25,0)</f>
        <v>0</v>
      </c>
      <c r="AV68" s="282">
        <f>IF(AC68&gt;0,Standing!$C$75*0.12,0)</f>
        <v>0</v>
      </c>
      <c r="AW68" s="283">
        <f>IF(AC68&gt;0,Standing!$C$26*0.4,0)</f>
        <v>0</v>
      </c>
      <c r="AX68" s="284">
        <f>IF(AC68&gt;0,Standing!$C$26*0.4,0)</f>
        <v>0</v>
      </c>
      <c r="AY68" s="280">
        <f>IF(AC68&gt;0,Standing!$C$26*0.2,0)</f>
        <v>0</v>
      </c>
      <c r="AZ68" s="281">
        <f>IF(AC68&gt;0,Standing!$C$26*0.33,0)</f>
        <v>0</v>
      </c>
      <c r="BA68" s="282">
        <f>IF(AC68&gt;0,Standing!$C$26*0.2,0)</f>
        <v>0</v>
      </c>
      <c r="BB68" s="283">
        <f>IF(AC68&gt;0,Standing!$C$26*0.2,0)</f>
        <v>0</v>
      </c>
      <c r="BC68" s="284">
        <f>IF(AC68&gt;0,Standing!$C$32*0.33,0)</f>
        <v>0</v>
      </c>
      <c r="BD68" s="280">
        <f>IF(AC68&gt;0,Standing!$C$32*0.5,0)</f>
        <v>0</v>
      </c>
      <c r="BE68" s="281">
        <f>IF(AC68&gt;0,Standing!$C$32*0.33,0)</f>
        <v>0</v>
      </c>
      <c r="BF68" s="282">
        <f>IF(AC68&gt;0,Standing!$C$32*0.33,0)</f>
        <v>0</v>
      </c>
      <c r="BG68" s="283">
        <f>IF(AC68&gt;0,Standing!$C$32*0.33,0)</f>
        <v>0</v>
      </c>
      <c r="BH68" s="284">
        <f>IF(AC68&gt;0,Standing!$C$32*0.4,0)</f>
        <v>0</v>
      </c>
      <c r="BI68" s="280">
        <f>IF(AC68&gt;0,Standing!$C$26*0.75,0)</f>
        <v>0</v>
      </c>
      <c r="BJ68" s="281">
        <f>IF(AC68&gt;0,Standing!$C$26*0.5,0)</f>
        <v>0</v>
      </c>
      <c r="BK68" s="282">
        <f>IF(AC68&gt;0,Standing!$C$26*0.5,0)</f>
        <v>0</v>
      </c>
      <c r="BL68" s="283">
        <f>IF(AC68&gt;0,Standing!$C$32*0.66,0)</f>
        <v>0</v>
      </c>
      <c r="BM68" s="281">
        <f>IF(AC68&gt;0,Standing!$C$32*0.85,0)</f>
        <v>0</v>
      </c>
      <c r="BN68" s="284">
        <f t="shared" si="9"/>
        <v>0</v>
      </c>
      <c r="BO68" s="282">
        <f>IF(AC68&gt;0,Standing!$C$32*0.45,0)</f>
        <v>0</v>
      </c>
      <c r="BP68" s="280">
        <f>IF(AC68&gt;0,Standing!$C$32*0.45,0)</f>
        <v>0</v>
      </c>
      <c r="BQ68" s="281">
        <f>IF(AC68&gt;0,Standing!$C$32*0.66,0)</f>
        <v>0</v>
      </c>
      <c r="BR68" s="282">
        <f>IF(AC68&gt;0,Standing!$C$32*0.33,0)</f>
        <v>0</v>
      </c>
      <c r="BS68" s="283">
        <f>IF(AC68&gt;0,Standing!$C$32*0.33,0)</f>
        <v>0</v>
      </c>
      <c r="BT68" s="284">
        <f>IF(AC68&gt;0,Standing!$C$32*0.3,0)</f>
        <v>0</v>
      </c>
      <c r="BU68" s="280">
        <f>IF(AC68&gt;0,Standing!$C$36*0.9,0)</f>
        <v>0</v>
      </c>
      <c r="BV68" s="281">
        <f>IF(AC68&gt;0,Standing!$C$36*0.45,0)</f>
        <v>0</v>
      </c>
      <c r="BW68" s="282">
        <f>IF(AC68&gt;0,Standing!$C$126*0.66,0)</f>
        <v>0</v>
      </c>
      <c r="BX68" s="283">
        <f>IF(AC68&gt;0,Standing!$C$126*0.66,0)</f>
        <v>0</v>
      </c>
      <c r="BY68" s="284">
        <f>IF(AC68&gt;0,Standing!$C$126*0.5,0)</f>
        <v>0</v>
      </c>
      <c r="BZ68" s="280">
        <f>IF(AC68&gt;0,Standing!$C$126*0.375,0)</f>
        <v>0</v>
      </c>
      <c r="CA68" s="281">
        <f>IF(AC68&gt;0,Standing!$C$132,0)</f>
        <v>0</v>
      </c>
      <c r="CB68" s="282">
        <f>IF(AC68&gt;0,Standing!$C$132*0.75,0)</f>
        <v>0</v>
      </c>
      <c r="CC68" s="283">
        <f>IF(AC68&gt;0,Standing!$C$132*0.66,0)</f>
        <v>0</v>
      </c>
      <c r="CD68" s="284">
        <f>IF(AC68&gt;0,Standing!$C$132*0.66,0)</f>
        <v>0</v>
      </c>
      <c r="CE68" s="280">
        <f>IF(AC68&gt;0,Standing!$C$132*0.5,0)</f>
        <v>0</v>
      </c>
      <c r="CF68" s="281">
        <f>IF(AC68&gt;0,Standing!$C$132*0.66,0)</f>
        <v>0</v>
      </c>
      <c r="CG68" s="282">
        <f>IF(AC68&gt;0,Standing!$C$132*0.66,0)</f>
        <v>0</v>
      </c>
      <c r="CH68" s="283">
        <f>IF(AC68&gt;0,Standing!$C$132*0.4,0)</f>
        <v>0</v>
      </c>
      <c r="CI68" s="284">
        <f>IF(AC68&gt;0,Standing!$C$132*0.4,0)</f>
        <v>0</v>
      </c>
      <c r="CJ68" s="280">
        <f>IF(AC68&gt;0,Standing!$C$132*0.66,0)</f>
        <v>0</v>
      </c>
      <c r="CK68" s="281">
        <f>IF(AC68&gt;0,Standing!$C$126*0.55,0)</f>
        <v>0</v>
      </c>
      <c r="CL68" s="282">
        <f>IF(AC68&gt;0,Standing!$C$126,0)</f>
        <v>0</v>
      </c>
      <c r="CM68" s="283">
        <f>IF(AC68&gt;0,Standing!$C$126*0.9,0)</f>
        <v>0</v>
      </c>
      <c r="CN68" s="284">
        <f>IF(AC68&gt;0,Standing!$C$126*0.55,0)</f>
        <v>0</v>
      </c>
      <c r="CO68" s="280">
        <f>IF(AC68&gt;0,Standing!$C$126*0.4,0)</f>
        <v>0</v>
      </c>
      <c r="CP68" s="281">
        <f>IF(AC68&gt;0,Standing!$C$26*0.33,0)</f>
        <v>0</v>
      </c>
      <c r="CQ68" s="282">
        <f>IF(AC68&gt;0,Standing!$C$26*0.2,0)</f>
        <v>0</v>
      </c>
      <c r="CR68" s="283">
        <f>IF(AC68&gt;0,Standing!$C$26*0.25,0)</f>
        <v>0</v>
      </c>
      <c r="CS68" s="285">
        <f>IF(AC68&gt;0,Standing!$C$26*0.2,0)</f>
        <v>0</v>
      </c>
      <c r="CT68" s="286"/>
      <c r="CU68" s="158" t="s">
        <v>44</v>
      </c>
    </row>
    <row r="69" ht="15.75" customHeight="1">
      <c r="A69" s="51"/>
      <c r="B69" s="296" t="s">
        <v>524</v>
      </c>
      <c r="C69" s="189">
        <f>IF(Standing!$C$26*0.125&gt;1,Standing!$C$26*0.125,1)</f>
        <v>1</v>
      </c>
      <c r="D69" s="218">
        <f t="shared" si="3"/>
        <v>0.3183091418</v>
      </c>
      <c r="E69" s="190">
        <f t="shared" si="4"/>
        <v>25.4</v>
      </c>
      <c r="F69" s="122">
        <f t="shared" si="5"/>
        <v>8.085052203</v>
      </c>
      <c r="G69" s="123">
        <f>C69/Introduction!$I$20</f>
        <v>0.01041666667</v>
      </c>
      <c r="H69" s="192">
        <f t="shared" si="6"/>
        <v>0.003315720227</v>
      </c>
      <c r="I69" s="124">
        <f>E69/Introduction!$I$20</f>
        <v>0.2645833333</v>
      </c>
      <c r="J69" s="125">
        <f t="shared" si="7"/>
        <v>0.08421929378</v>
      </c>
      <c r="K69" s="51"/>
      <c r="L69" s="51"/>
      <c r="M69" s="51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286"/>
      <c r="AB69" s="158" t="s">
        <v>45</v>
      </c>
      <c r="AC69" s="287">
        <f>IF('Ship Data Imperial'!E70&gt;0,'Ship Data Imperial'!E70,AD69)</f>
        <v>0</v>
      </c>
      <c r="AD69" s="287">
        <f>'Ship Data Metric'!E70*0.03280839895</f>
        <v>0</v>
      </c>
      <c r="AE69" s="284">
        <f>IF(AC69&gt;0,Standing!$C$75*0.65,0)</f>
        <v>0</v>
      </c>
      <c r="AF69" s="280">
        <f>IF(AC69&gt;0,Standing!$C$75*0.33,0)</f>
        <v>0</v>
      </c>
      <c r="AG69" s="281">
        <f>IF(AC69&gt;0,Standing!$C$75*0.2,0)</f>
        <v>0</v>
      </c>
      <c r="AH69" s="282">
        <f>IF(AC69&gt;0,Standing!$C$75*0.5,0)</f>
        <v>0</v>
      </c>
      <c r="AI69" s="283">
        <f>IF(AC69&gt;0,Standing!$C$75*0.2,0)</f>
        <v>0</v>
      </c>
      <c r="AJ69" s="284">
        <f>IF(AC69&gt;0,Standing!$C$75*0.25,0)</f>
        <v>0</v>
      </c>
      <c r="AK69" s="281">
        <f>IF(AC69&gt;0,Standing!$C$81*0.8,0)</f>
        <v>0</v>
      </c>
      <c r="AL69" s="282">
        <f t="shared" si="8"/>
        <v>0</v>
      </c>
      <c r="AM69" s="283">
        <f>IF(AC69&gt;0,Standing!$C$81*0.45,0)</f>
        <v>0</v>
      </c>
      <c r="AN69" s="284">
        <f>IF(AC69&gt;0,Standing!$C$81*0.55,0)</f>
        <v>0</v>
      </c>
      <c r="AO69" s="280">
        <f>IF(AC69&gt;0,Standing!$C$81*0.36,0)</f>
        <v>0</v>
      </c>
      <c r="AP69" s="281">
        <f>IF(AC69&gt;0,Standing!$C$81*0.9,0)</f>
        <v>0</v>
      </c>
      <c r="AQ69" s="282">
        <f>IF(AC69&gt;0,Standing!$C$85*0.9,0)</f>
        <v>0</v>
      </c>
      <c r="AR69" s="283">
        <f>IF(AC69&gt;0,Standing!$C$85*0.5,0)</f>
        <v>0</v>
      </c>
      <c r="AS69" s="284">
        <f>IF(AC69&gt;0,Standing!$C$85*0.66,0)</f>
        <v>0</v>
      </c>
      <c r="AT69" s="280">
        <f>IF(AC69&gt;0,Standing!$C$85*0.66,0)</f>
        <v>0</v>
      </c>
      <c r="AU69" s="281">
        <f>IF(AC69&gt;0,Standing!$C$75*0.25,0)</f>
        <v>0</v>
      </c>
      <c r="AV69" s="282">
        <f>IF(AC69&gt;0,Standing!$C$75*0.12,0)</f>
        <v>0</v>
      </c>
      <c r="AW69" s="283">
        <f>IF(AC69&gt;0,Standing!$C$26*0.4,0)</f>
        <v>0</v>
      </c>
      <c r="AX69" s="284">
        <f>IF(AC69&gt;0,Standing!$C$26*0.4,0)</f>
        <v>0</v>
      </c>
      <c r="AY69" s="280">
        <f>IF(AC69&gt;0,Standing!$C$26*0.2,0)</f>
        <v>0</v>
      </c>
      <c r="AZ69" s="281">
        <f>IF(AC69&gt;0,Standing!$C$26*0.33,0)</f>
        <v>0</v>
      </c>
      <c r="BA69" s="282">
        <f>IF(AC69&gt;0,Standing!$C$26*0.2,0)</f>
        <v>0</v>
      </c>
      <c r="BB69" s="283">
        <f>IF(AC69&gt;0,Standing!$C$26*0.2,0)</f>
        <v>0</v>
      </c>
      <c r="BC69" s="284">
        <f>IF(AC69&gt;0,Standing!$C$32*0.33,0)</f>
        <v>0</v>
      </c>
      <c r="BD69" s="280">
        <f>IF(AC69&gt;0,Standing!$C$32*0.5,0)</f>
        <v>0</v>
      </c>
      <c r="BE69" s="281">
        <f>IF(AC69&gt;0,Standing!$C$32*0.33,0)</f>
        <v>0</v>
      </c>
      <c r="BF69" s="282">
        <f>IF(AC69&gt;0,Standing!$C$32*0.33,0)</f>
        <v>0</v>
      </c>
      <c r="BG69" s="283">
        <f>IF(AC69&gt;0,Standing!$C$32*0.33,0)</f>
        <v>0</v>
      </c>
      <c r="BH69" s="284">
        <f>IF(AC69&gt;0,Standing!$C$32*0.4,0)</f>
        <v>0</v>
      </c>
      <c r="BI69" s="280">
        <f>IF(AC69&gt;0,Standing!$C$26*0.75,0)</f>
        <v>0</v>
      </c>
      <c r="BJ69" s="281">
        <f>IF(AC69&gt;0,Standing!$C$26*0.5,0)</f>
        <v>0</v>
      </c>
      <c r="BK69" s="282">
        <f>IF(AC69&gt;0,Standing!$C$26*0.5,0)</f>
        <v>0</v>
      </c>
      <c r="BL69" s="283">
        <f>IF(AC69&gt;0,Standing!$C$32*0.66,0)</f>
        <v>0</v>
      </c>
      <c r="BM69" s="281">
        <f>IF(AC69&gt;0,Standing!$C$32*0.85,0)</f>
        <v>0</v>
      </c>
      <c r="BN69" s="284">
        <f t="shared" si="9"/>
        <v>0</v>
      </c>
      <c r="BO69" s="282">
        <f>IF(AC69&gt;0,Standing!$C$32*0.45,0)</f>
        <v>0</v>
      </c>
      <c r="BP69" s="280">
        <f>IF(AC69&gt;0,Standing!$C$32*0.45,0)</f>
        <v>0</v>
      </c>
      <c r="BQ69" s="281">
        <f>IF(AC69&gt;0,Standing!$C$32*0.66,0)</f>
        <v>0</v>
      </c>
      <c r="BR69" s="282">
        <f>IF(AC69&gt;0,Standing!$C$32*0.33,0)</f>
        <v>0</v>
      </c>
      <c r="BS69" s="283">
        <f>IF(AC69&gt;0,Standing!$C$32*0.33,0)</f>
        <v>0</v>
      </c>
      <c r="BT69" s="284">
        <f>IF(AC69&gt;0,Standing!$C$32*0.3,0)</f>
        <v>0</v>
      </c>
      <c r="BU69" s="280">
        <f>IF(AC69&gt;0,Standing!$C$36*0.9,0)</f>
        <v>0</v>
      </c>
      <c r="BV69" s="281">
        <f>IF(AC69&gt;0,Standing!$C$36*0.45,0)</f>
        <v>0</v>
      </c>
      <c r="BW69" s="282">
        <f>IF(AC69&gt;0,Standing!$C$126*0.66,0)</f>
        <v>0</v>
      </c>
      <c r="BX69" s="283">
        <f>IF(AC69&gt;0,Standing!$C$126*0.66,0)</f>
        <v>0</v>
      </c>
      <c r="BY69" s="284">
        <f>IF(AC69&gt;0,Standing!$C$126*0.5,0)</f>
        <v>0</v>
      </c>
      <c r="BZ69" s="280">
        <f>IF(AC69&gt;0,Standing!$C$126*0.375,0)</f>
        <v>0</v>
      </c>
      <c r="CA69" s="281">
        <f>IF(AC69&gt;0,Standing!$C$132,0)</f>
        <v>0</v>
      </c>
      <c r="CB69" s="282">
        <f>IF(AC69&gt;0,Standing!$C$132*0.75,0)</f>
        <v>0</v>
      </c>
      <c r="CC69" s="283">
        <f>IF(AC69&gt;0,Standing!$C$132*0.66,0)</f>
        <v>0</v>
      </c>
      <c r="CD69" s="284">
        <f>IF(AC69&gt;0,Standing!$C$132*0.66,0)</f>
        <v>0</v>
      </c>
      <c r="CE69" s="280">
        <f>IF(AC69&gt;0,Standing!$C$132*0.5,0)</f>
        <v>0</v>
      </c>
      <c r="CF69" s="281">
        <f>IF(AC69&gt;0,Standing!$C$132*0.66,0)</f>
        <v>0</v>
      </c>
      <c r="CG69" s="282">
        <f>IF(AC69&gt;0,Standing!$C$132*0.66,0)</f>
        <v>0</v>
      </c>
      <c r="CH69" s="283">
        <f>IF(AC69&gt;0,Standing!$C$132*0.4,0)</f>
        <v>0</v>
      </c>
      <c r="CI69" s="284">
        <f>IF(AC69&gt;0,Standing!$C$132*0.4,0)</f>
        <v>0</v>
      </c>
      <c r="CJ69" s="280">
        <f>IF(AC69&gt;0,Standing!$C$132*0.66,0)</f>
        <v>0</v>
      </c>
      <c r="CK69" s="281">
        <f>IF(AC69&gt;0,Standing!$C$126*0.55,0)</f>
        <v>0</v>
      </c>
      <c r="CL69" s="282">
        <f>IF(AC69&gt;0,Standing!$C$126,0)</f>
        <v>0</v>
      </c>
      <c r="CM69" s="283">
        <f>IF(AC69&gt;0,Standing!$C$126*0.9,0)</f>
        <v>0</v>
      </c>
      <c r="CN69" s="284">
        <f>IF(AC69&gt;0,Standing!$C$126*0.55,0)</f>
        <v>0</v>
      </c>
      <c r="CO69" s="280">
        <f>IF(AC69&gt;0,Standing!$C$126*0.4,0)</f>
        <v>0</v>
      </c>
      <c r="CP69" s="281">
        <f>IF(AC69&gt;0,Standing!$C$26*0.33,0)</f>
        <v>0</v>
      </c>
      <c r="CQ69" s="282">
        <f>IF(AC69&gt;0,Standing!$C$26*0.2,0)</f>
        <v>0</v>
      </c>
      <c r="CR69" s="283">
        <f>IF(AC69&gt;0,Standing!$C$26*0.25,0)</f>
        <v>0</v>
      </c>
      <c r="CS69" s="285">
        <f>IF(AC69&gt;0,Standing!$C$26*0.2,0)</f>
        <v>0</v>
      </c>
      <c r="CT69" s="286"/>
      <c r="CU69" s="158" t="s">
        <v>45</v>
      </c>
    </row>
    <row r="70" ht="15.75" customHeight="1">
      <c r="A70" s="51"/>
      <c r="B70" s="296" t="s">
        <v>525</v>
      </c>
      <c r="C70" s="189">
        <f>IF(Standing!$C$26*0.1&gt;1,Standing!$C$26*0.1,1)</f>
        <v>1</v>
      </c>
      <c r="D70" s="218">
        <f t="shared" si="3"/>
        <v>0.3183091418</v>
      </c>
      <c r="E70" s="190">
        <f t="shared" si="4"/>
        <v>25.4</v>
      </c>
      <c r="F70" s="122">
        <f t="shared" si="5"/>
        <v>8.085052203</v>
      </c>
      <c r="G70" s="123">
        <f>C70/Introduction!$I$20</f>
        <v>0.01041666667</v>
      </c>
      <c r="H70" s="192">
        <f t="shared" si="6"/>
        <v>0.003315720227</v>
      </c>
      <c r="I70" s="124">
        <f>E70/Introduction!$I$20</f>
        <v>0.2645833333</v>
      </c>
      <c r="J70" s="125">
        <f t="shared" si="7"/>
        <v>0.08421929378</v>
      </c>
      <c r="K70" s="51"/>
      <c r="L70" s="51"/>
      <c r="M70" s="51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286"/>
      <c r="AB70" s="158" t="s">
        <v>46</v>
      </c>
      <c r="AC70" s="287">
        <f>IF('Ship Data Imperial'!E71&gt;0,'Ship Data Imperial'!E71,AD70)</f>
        <v>0</v>
      </c>
      <c r="AD70" s="287">
        <f>'Ship Data Metric'!E71*0.03280839895</f>
        <v>0</v>
      </c>
      <c r="AE70" s="284">
        <f>IF(AC70&gt;0,Standing!$C$75*0.65,0)</f>
        <v>0</v>
      </c>
      <c r="AF70" s="280">
        <f>IF(AC70&gt;0,Standing!$C$75*0.33,0)</f>
        <v>0</v>
      </c>
      <c r="AG70" s="281">
        <f>IF(AC70&gt;0,Standing!$C$75*0.2,0)</f>
        <v>0</v>
      </c>
      <c r="AH70" s="282">
        <f>IF(AC70&gt;0,Standing!$C$75*0.5,0)</f>
        <v>0</v>
      </c>
      <c r="AI70" s="283">
        <f>IF(AC70&gt;0,Standing!$C$75*0.2,0)</f>
        <v>0</v>
      </c>
      <c r="AJ70" s="284">
        <f>IF(AC70&gt;0,Standing!$C$75*0.25,0)</f>
        <v>0</v>
      </c>
      <c r="AK70" s="281">
        <f>IF(AC70&gt;0,Standing!$C$81*0.8,0)</f>
        <v>0</v>
      </c>
      <c r="AL70" s="282">
        <f t="shared" si="8"/>
        <v>0</v>
      </c>
      <c r="AM70" s="283">
        <f>IF(AC70&gt;0,Standing!$C$81*0.45,0)</f>
        <v>0</v>
      </c>
      <c r="AN70" s="284">
        <f>IF(AC70&gt;0,Standing!$C$81*0.55,0)</f>
        <v>0</v>
      </c>
      <c r="AO70" s="280">
        <f>IF(AC70&gt;0,Standing!$C$81*0.36,0)</f>
        <v>0</v>
      </c>
      <c r="AP70" s="281">
        <f>IF(AC70&gt;0,Standing!$C$81*0.9,0)</f>
        <v>0</v>
      </c>
      <c r="AQ70" s="282">
        <f>IF(AC70&gt;0,Standing!$C$85*0.9,0)</f>
        <v>0</v>
      </c>
      <c r="AR70" s="283">
        <f>IF(AC70&gt;0,Standing!$C$85*0.5,0)</f>
        <v>0</v>
      </c>
      <c r="AS70" s="284">
        <f>IF(AC70&gt;0,Standing!$C$85*0.66,0)</f>
        <v>0</v>
      </c>
      <c r="AT70" s="280">
        <f>IF(AC70&gt;0,Standing!$C$85*0.66,0)</f>
        <v>0</v>
      </c>
      <c r="AU70" s="281">
        <f>IF(AC70&gt;0,Standing!$C$75*0.25,0)</f>
        <v>0</v>
      </c>
      <c r="AV70" s="282">
        <f>IF(AC70&gt;0,Standing!$C$75*0.12,0)</f>
        <v>0</v>
      </c>
      <c r="AW70" s="283">
        <f>IF(AC70&gt;0,Standing!$C$26*0.4,0)</f>
        <v>0</v>
      </c>
      <c r="AX70" s="284">
        <f>IF(AC70&gt;0,Standing!$C$26*0.4,0)</f>
        <v>0</v>
      </c>
      <c r="AY70" s="280">
        <f>IF(AC70&gt;0,Standing!$C$26*0.2,0)</f>
        <v>0</v>
      </c>
      <c r="AZ70" s="281">
        <f>IF(AC70&gt;0,Standing!$C$26*0.33,0)</f>
        <v>0</v>
      </c>
      <c r="BA70" s="282">
        <f>IF(AC70&gt;0,Standing!$C$26*0.2,0)</f>
        <v>0</v>
      </c>
      <c r="BB70" s="283">
        <f>IF(AC70&gt;0,Standing!$C$26*0.2,0)</f>
        <v>0</v>
      </c>
      <c r="BC70" s="284">
        <f>IF(AC70&gt;0,Standing!$C$32*0.33,0)</f>
        <v>0</v>
      </c>
      <c r="BD70" s="280">
        <f>IF(AC70&gt;0,Standing!$C$32*0.5,0)</f>
        <v>0</v>
      </c>
      <c r="BE70" s="281">
        <f>IF(AC70&gt;0,Standing!$C$32*0.33,0)</f>
        <v>0</v>
      </c>
      <c r="BF70" s="282">
        <f>IF(AC70&gt;0,Standing!$C$32*0.33,0)</f>
        <v>0</v>
      </c>
      <c r="BG70" s="283">
        <f>IF(AC70&gt;0,Standing!$C$32*0.33,0)</f>
        <v>0</v>
      </c>
      <c r="BH70" s="284">
        <f>IF(AC70&gt;0,Standing!$C$32*0.4,0)</f>
        <v>0</v>
      </c>
      <c r="BI70" s="280">
        <f>IF(AC70&gt;0,Standing!$C$26*0.75,0)</f>
        <v>0</v>
      </c>
      <c r="BJ70" s="281">
        <f>IF(AC70&gt;0,Standing!$C$26*0.5,0)</f>
        <v>0</v>
      </c>
      <c r="BK70" s="282">
        <f>IF(AC70&gt;0,Standing!$C$26*0.5,0)</f>
        <v>0</v>
      </c>
      <c r="BL70" s="283">
        <f>IF(AC70&gt;0,Standing!$C$32*0.66,0)</f>
        <v>0</v>
      </c>
      <c r="BM70" s="281">
        <f>IF(AC70&gt;0,Standing!$C$32*0.85,0)</f>
        <v>0</v>
      </c>
      <c r="BN70" s="284">
        <f t="shared" si="9"/>
        <v>0</v>
      </c>
      <c r="BO70" s="282">
        <f>IF(AC70&gt;0,Standing!$C$32*0.45,0)</f>
        <v>0</v>
      </c>
      <c r="BP70" s="280">
        <f>IF(AC70&gt;0,Standing!$C$32*0.45,0)</f>
        <v>0</v>
      </c>
      <c r="BQ70" s="281">
        <f>IF(AC70&gt;0,Standing!$C$32*0.66,0)</f>
        <v>0</v>
      </c>
      <c r="BR70" s="282">
        <f>IF(AC70&gt;0,Standing!$C$32*0.33,0)</f>
        <v>0</v>
      </c>
      <c r="BS70" s="283">
        <f>IF(AC70&gt;0,Standing!$C$32*0.375,0)</f>
        <v>0</v>
      </c>
      <c r="BT70" s="284">
        <f>IF(AC70&gt;0,Standing!$C$32*0.3,0)</f>
        <v>0</v>
      </c>
      <c r="BU70" s="280">
        <f>IF(AC70&gt;0,Standing!$C$36*0.9,0)</f>
        <v>0</v>
      </c>
      <c r="BV70" s="281">
        <f>IF(AC70&gt;0,Standing!$C$36*0.45,0)</f>
        <v>0</v>
      </c>
      <c r="BW70" s="282">
        <f>IF(AC70&gt;0,Standing!$C$126*0.66,0)</f>
        <v>0</v>
      </c>
      <c r="BX70" s="283">
        <f>IF(AC70&gt;0,Standing!$C$126*0.66,0)</f>
        <v>0</v>
      </c>
      <c r="BY70" s="284">
        <f>IF(AC70&gt;0,Standing!$C$126*0.5,0)</f>
        <v>0</v>
      </c>
      <c r="BZ70" s="280">
        <f>IF(AC70&gt;0,Standing!$C$126*0.375,0)</f>
        <v>0</v>
      </c>
      <c r="CA70" s="281">
        <f>IF(AC70&gt;0,Standing!$C$132,0)</f>
        <v>0</v>
      </c>
      <c r="CB70" s="282">
        <f>IF(AC70&gt;0,Standing!$C$132*0.75,0)</f>
        <v>0</v>
      </c>
      <c r="CC70" s="283">
        <f>IF(AC70&gt;0,Standing!$C$132*0.66,0)</f>
        <v>0</v>
      </c>
      <c r="CD70" s="284">
        <f>IF(AC70&gt;0,Standing!$C$132*0.66,0)</f>
        <v>0</v>
      </c>
      <c r="CE70" s="280">
        <f>IF(AC70&gt;0,Standing!$C$132*0.5,0)</f>
        <v>0</v>
      </c>
      <c r="CF70" s="281">
        <f>IF(AC70&gt;0,Standing!$C$132*0.66,0)</f>
        <v>0</v>
      </c>
      <c r="CG70" s="282">
        <f>IF(AC70&gt;0,Standing!$C$132*0.66,0)</f>
        <v>0</v>
      </c>
      <c r="CH70" s="283">
        <f>IF(AC70&gt;0,Standing!$C$132*0.4,0)</f>
        <v>0</v>
      </c>
      <c r="CI70" s="284">
        <f>IF(AC70&gt;0,Standing!$C$132*0.4,0)</f>
        <v>0</v>
      </c>
      <c r="CJ70" s="280">
        <f>IF(AC70&gt;0,Standing!$C$132*0.66,0)</f>
        <v>0</v>
      </c>
      <c r="CK70" s="281">
        <f>IF(AC70&gt;0,Standing!$C$126*0.55,0)</f>
        <v>0</v>
      </c>
      <c r="CL70" s="282">
        <f>IF(AC70&gt;0,Standing!$C$126,0)</f>
        <v>0</v>
      </c>
      <c r="CM70" s="283">
        <f>IF(AC70&gt;0,Standing!$C$126*0.9,0)</f>
        <v>0</v>
      </c>
      <c r="CN70" s="284">
        <f>IF(AC70&gt;0,Standing!$C$126*0.55,0)</f>
        <v>0</v>
      </c>
      <c r="CO70" s="280">
        <f>IF(AC70&gt;0,Standing!$C$126*0.4,0)</f>
        <v>0</v>
      </c>
      <c r="CP70" s="281">
        <f>IF(AC70&gt;0,Standing!$C$26*0.33,0)</f>
        <v>0</v>
      </c>
      <c r="CQ70" s="282">
        <f>IF(AC70&gt;0,Standing!$C$26*0.2,0)</f>
        <v>0</v>
      </c>
      <c r="CR70" s="283">
        <f>IF(AC70&gt;0,Standing!$C$26*0.25,0)</f>
        <v>0</v>
      </c>
      <c r="CS70" s="285">
        <f>IF(AC70&gt;0,Standing!$C$26*0.2,0)</f>
        <v>0</v>
      </c>
      <c r="CT70" s="286"/>
      <c r="CU70" s="158" t="s">
        <v>46</v>
      </c>
    </row>
    <row r="71" ht="15.75" customHeight="1">
      <c r="A71" s="51"/>
      <c r="B71" s="296" t="s">
        <v>526</v>
      </c>
      <c r="C71" s="189">
        <f>IF(Standing!$C$26*0.25&gt;2,Standing!$C$26*0.25,2)</f>
        <v>2</v>
      </c>
      <c r="D71" s="218">
        <f t="shared" si="3"/>
        <v>0.6366182837</v>
      </c>
      <c r="E71" s="190">
        <f t="shared" si="4"/>
        <v>50.8</v>
      </c>
      <c r="F71" s="122">
        <f t="shared" si="5"/>
        <v>16.17010441</v>
      </c>
      <c r="G71" s="123">
        <f>C71/Introduction!$I$20</f>
        <v>0.02083333333</v>
      </c>
      <c r="H71" s="192">
        <f t="shared" si="6"/>
        <v>0.006631440455</v>
      </c>
      <c r="I71" s="124">
        <f>E71/Introduction!$I$20</f>
        <v>0.5291666667</v>
      </c>
      <c r="J71" s="125">
        <f t="shared" si="7"/>
        <v>0.1684385876</v>
      </c>
      <c r="K71" s="51"/>
      <c r="L71" s="51"/>
      <c r="M71" s="51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286" t="s">
        <v>47</v>
      </c>
      <c r="AB71" s="158" t="s">
        <v>24</v>
      </c>
      <c r="AC71" s="287">
        <f>IF('Ship Data Imperial'!E72&gt;0,'Ship Data Imperial'!E72,AD71)</f>
        <v>0</v>
      </c>
      <c r="AD71" s="287">
        <f>'Ship Data Metric'!E72*0.03280839895</f>
        <v>0</v>
      </c>
      <c r="AE71" s="284">
        <f>IF(AC71&gt;0,Standing!$C$75*0.45,0)</f>
        <v>0</v>
      </c>
      <c r="AF71" s="280">
        <f>IF(AC71&gt;0,Standing!$C$75*0.25,0)</f>
        <v>0</v>
      </c>
      <c r="AG71" s="281">
        <f>IF(AC71&gt;0,Standing!$C$75*0.165,0)</f>
        <v>0</v>
      </c>
      <c r="AH71" s="282">
        <f>IF(AC71&gt;0,Standing!$C$75*0.5,0)</f>
        <v>0</v>
      </c>
      <c r="AI71" s="283">
        <f>IF(AC71&gt;0,Standing!$C$75*0.16,0)</f>
        <v>0</v>
      </c>
      <c r="AJ71" s="284">
        <f>IF(AC71&gt;0,Standing!$C$75*0.2,0)</f>
        <v>0</v>
      </c>
      <c r="AK71" s="281">
        <f>IF(AC71&gt;0,Standing!$C$81*0.66,0)</f>
        <v>0</v>
      </c>
      <c r="AL71" s="282">
        <f t="shared" si="8"/>
        <v>0</v>
      </c>
      <c r="AM71" s="283">
        <f>IF(AC71&gt;0,Standing!$C$81*0.45,0)</f>
        <v>0</v>
      </c>
      <c r="AN71" s="284">
        <f>IF(AC71&gt;0,Standing!$C$81*0.55,0)</f>
        <v>0</v>
      </c>
      <c r="AO71" s="280">
        <f>IF(AC71&gt;0,Standing!$C$81*0.36,0)</f>
        <v>0</v>
      </c>
      <c r="AP71" s="281">
        <f>IF(AC71&gt;0,Standing!$C$81,0)</f>
        <v>0</v>
      </c>
      <c r="AQ71" s="282">
        <f>IF(AC71&gt;0,Standing!$C$85*0.9,0)</f>
        <v>0</v>
      </c>
      <c r="AR71" s="283">
        <f>IF(AC71&gt;0,Standing!$C$85*0.5,0)</f>
        <v>0</v>
      </c>
      <c r="AS71" s="284">
        <f>IF(AC71&gt;0,Standing!$C$85*0.66,0)</f>
        <v>0</v>
      </c>
      <c r="AT71" s="280">
        <f>IF(AC71&gt;0,Standing!$C$85*0.66,0)</f>
        <v>0</v>
      </c>
      <c r="AU71" s="281">
        <f>IF(AC71&gt;0,Standing!$C$75*0.2,0)</f>
        <v>0</v>
      </c>
      <c r="AV71" s="282">
        <f>IF(AC71&gt;0,Standing!$C$75*0.12,0)</f>
        <v>0</v>
      </c>
      <c r="AW71" s="283">
        <f>IF(AC71&gt;0,Standing!$C$26*0.4,0)</f>
        <v>0</v>
      </c>
      <c r="AX71" s="284">
        <f>IF(AC71&gt;0,Standing!$C$26*0.4,0)</f>
        <v>0</v>
      </c>
      <c r="AY71" s="280">
        <f>IF(AC71&gt;0,Standing!$C$26*0.2,0)</f>
        <v>0</v>
      </c>
      <c r="AZ71" s="281">
        <f>IF(AC71&gt;0,Standing!$C$26*0.33,0)</f>
        <v>0</v>
      </c>
      <c r="BA71" s="282">
        <f>IF(AC71&gt;0,Standing!$C$26*0.2,0)</f>
        <v>0</v>
      </c>
      <c r="BB71" s="283">
        <f>IF(AC71&gt;0,Standing!$C$26*0.2,0)</f>
        <v>0</v>
      </c>
      <c r="BC71" s="284">
        <f>IF(AC71&gt;0,Standing!$C$32*0.33,0)</f>
        <v>0</v>
      </c>
      <c r="BD71" s="280">
        <f>IF(AC71&gt;0,Standing!$C$32*0.5,0)</f>
        <v>0</v>
      </c>
      <c r="BE71" s="281">
        <f>IF(AC71&gt;0,Standing!$C$32*0.33,0)</f>
        <v>0</v>
      </c>
      <c r="BF71" s="282">
        <f>IF(AC71&gt;0,Standing!$C$32*0.33,0)</f>
        <v>0</v>
      </c>
      <c r="BG71" s="283">
        <f>IF(AC71&gt;0,Standing!$C$32*0.33,0)</f>
        <v>0</v>
      </c>
      <c r="BH71" s="284">
        <f>IF(AC71&gt;0,Standing!$C$32*0.33,0)</f>
        <v>0</v>
      </c>
      <c r="BI71" s="280">
        <f>IF(AC71&gt;0,Standing!$C$26*0.5,0)</f>
        <v>0</v>
      </c>
      <c r="BJ71" s="281">
        <f>IF(AC71&gt;0,Standing!$C$26*0.5,0)</f>
        <v>0</v>
      </c>
      <c r="BK71" s="282">
        <f>IF(AC71&gt;0,Standing!$C$26*0.5,0)</f>
        <v>0</v>
      </c>
      <c r="BL71" s="283">
        <f>IF(AC71&gt;0,Standing!$C$32*0.66,0)</f>
        <v>0</v>
      </c>
      <c r="BM71" s="281">
        <f>IF(AC71&gt;0,Standing!$C$32*0.9,0)</f>
        <v>0</v>
      </c>
      <c r="BN71" s="284">
        <f t="shared" si="9"/>
        <v>0</v>
      </c>
      <c r="BO71" s="282">
        <f>IF(AC71&gt;0,Standing!$C$32*0.5,0)</f>
        <v>0</v>
      </c>
      <c r="BP71" s="280">
        <f>IF(AC71&gt;0,Standing!$C$32*0.45,0)</f>
        <v>0</v>
      </c>
      <c r="BQ71" s="281">
        <f>IF(AC71&gt;0,Standing!$C$32*0.66,0)</f>
        <v>0</v>
      </c>
      <c r="BR71" s="282">
        <f>IF(AC71&gt;0,Standing!$C$32*0.33,0)</f>
        <v>0</v>
      </c>
      <c r="BS71" s="283">
        <f>IF(AC71&gt;0,Standing!$C$32*0.33,0)</f>
        <v>0</v>
      </c>
      <c r="BT71" s="284">
        <f>IF(AC71&gt;0,Standing!$C$32*0.3,0)</f>
        <v>0</v>
      </c>
      <c r="BU71" s="280">
        <f>IF(AC71&gt;0,Standing!$C$36*0.9,0)</f>
        <v>0</v>
      </c>
      <c r="BV71" s="281">
        <f>IF(AC71&gt;0,Standing!$C$36*0.45,0)</f>
        <v>0</v>
      </c>
      <c r="BW71" s="282">
        <f>IF(AC71&gt;0,Standing!$C$126*0.66,0)</f>
        <v>0</v>
      </c>
      <c r="BX71" s="283">
        <f>IF(AC71&gt;0,Standing!$C$126*0.66,0)</f>
        <v>0</v>
      </c>
      <c r="BY71" s="284">
        <f>IF(AC71&gt;0,Standing!$C$126*0.5,0)</f>
        <v>0</v>
      </c>
      <c r="BZ71" s="280">
        <f>IF(AC71&gt;0,Standing!$C$126*0.375,0)</f>
        <v>0</v>
      </c>
      <c r="CA71" s="281">
        <f>IF(AC71&gt;0,Standing!$C$132,0)</f>
        <v>0</v>
      </c>
      <c r="CB71" s="282">
        <f>IF(AC71&gt;0,Standing!$C$132*0.75,0)</f>
        <v>0</v>
      </c>
      <c r="CC71" s="283">
        <f>IF(AC71&gt;0,Standing!$C$132*0.66,0)</f>
        <v>0</v>
      </c>
      <c r="CD71" s="284">
        <f>IF(AC71&gt;0,Standing!$C$132*0.66,0)</f>
        <v>0</v>
      </c>
      <c r="CE71" s="280">
        <f>IF(AC71&gt;0,Standing!$C$132*0.4,0)</f>
        <v>0</v>
      </c>
      <c r="CF71" s="281">
        <f>IF(AC71&gt;0,Standing!$C$132*0.66,0)</f>
        <v>0</v>
      </c>
      <c r="CG71" s="282">
        <f>IF(AC71&gt;0,Standing!$C$132*0.66,0)</f>
        <v>0</v>
      </c>
      <c r="CH71" s="283">
        <f>IF(AC71&gt;0,Standing!$C$132*0.4,0)</f>
        <v>0</v>
      </c>
      <c r="CI71" s="284">
        <f>IF(AC71&gt;0,Standing!$C$132*0.4,0)</f>
        <v>0</v>
      </c>
      <c r="CJ71" s="280">
        <f>IF(AC71&gt;0,Standing!$C$132*0.66,0)</f>
        <v>0</v>
      </c>
      <c r="CK71" s="281">
        <f>IF(AC71&gt;0,Standing!$C$126*0.55,0)</f>
        <v>0</v>
      </c>
      <c r="CL71" s="282">
        <f>IF(AC71&gt;0,Standing!$C$126,0)</f>
        <v>0</v>
      </c>
      <c r="CM71" s="283">
        <f>IF(AC71&gt;0,Standing!$C$126*0.9,0)</f>
        <v>0</v>
      </c>
      <c r="CN71" s="284">
        <f>IF(AC71&gt;0,Standing!$C$126*0.55,0)</f>
        <v>0</v>
      </c>
      <c r="CO71" s="280">
        <f>IF(AC71&gt;0,Standing!$C$126*0.4,0)</f>
        <v>0</v>
      </c>
      <c r="CP71" s="281">
        <f>IF(AC71&gt;0,Standing!$C$26*0.25,0)</f>
        <v>0</v>
      </c>
      <c r="CQ71" s="282">
        <f>IF(AC71&gt;0,Standing!$C$26*0.165,0)</f>
        <v>0</v>
      </c>
      <c r="CR71" s="283">
        <f>IF(AC71&gt;0,Standing!$C$26*0.2,0)</f>
        <v>0</v>
      </c>
      <c r="CS71" s="285">
        <f>IF(AC71&gt;0,Standing!$C$26*0.16,0)</f>
        <v>0</v>
      </c>
      <c r="CT71" s="286" t="s">
        <v>47</v>
      </c>
      <c r="CU71" s="158" t="s">
        <v>24</v>
      </c>
    </row>
    <row r="72" ht="15.75" customHeight="1">
      <c r="A72" s="51"/>
      <c r="B72" s="296" t="s">
        <v>527</v>
      </c>
      <c r="C72" s="189">
        <f>IF(Standing!$C$26*0.18&gt;2,Standing!$C$26*0.18,2)</f>
        <v>2</v>
      </c>
      <c r="D72" s="218">
        <f t="shared" si="3"/>
        <v>0.6366182837</v>
      </c>
      <c r="E72" s="190">
        <f t="shared" si="4"/>
        <v>50.8</v>
      </c>
      <c r="F72" s="122">
        <f t="shared" si="5"/>
        <v>16.17010441</v>
      </c>
      <c r="G72" s="123">
        <f>C72/Introduction!$I$20</f>
        <v>0.02083333333</v>
      </c>
      <c r="H72" s="192">
        <f t="shared" si="6"/>
        <v>0.006631440455</v>
      </c>
      <c r="I72" s="124">
        <f>E72/Introduction!$I$20</f>
        <v>0.5291666667</v>
      </c>
      <c r="J72" s="125">
        <f t="shared" si="7"/>
        <v>0.1684385876</v>
      </c>
      <c r="K72" s="51"/>
      <c r="L72" s="51"/>
      <c r="M72" s="51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286"/>
      <c r="AB72" s="158" t="s">
        <v>25</v>
      </c>
      <c r="AC72" s="287">
        <f>IF('Ship Data Imperial'!E73&gt;0,'Ship Data Imperial'!E73,AD72)</f>
        <v>0</v>
      </c>
      <c r="AD72" s="287">
        <f>'Ship Data Metric'!E73*0.03280839895</f>
        <v>0</v>
      </c>
      <c r="AE72" s="284">
        <f>IF(AC72&gt;0,Standing!$C$75*0.45,0)</f>
        <v>0</v>
      </c>
      <c r="AF72" s="280">
        <f>IF(AC72&gt;0,Standing!$C$75*0.25,0)</f>
        <v>0</v>
      </c>
      <c r="AG72" s="281">
        <f>IF(AC72&gt;0,Standing!$C$75*0.165,0)</f>
        <v>0</v>
      </c>
      <c r="AH72" s="282">
        <f>IF(AC72&gt;0,Standing!$C$75*0.5,0)</f>
        <v>0</v>
      </c>
      <c r="AI72" s="283">
        <f>IF(AC72&gt;0,Standing!$C$75*0.16,0)</f>
        <v>0</v>
      </c>
      <c r="AJ72" s="284">
        <f>IF(AC72&gt;0,Standing!$C$75*0.2,0)</f>
        <v>0</v>
      </c>
      <c r="AK72" s="281">
        <f>IF(AC72&gt;0,Standing!$C$81*0.66,0)</f>
        <v>0</v>
      </c>
      <c r="AL72" s="282">
        <f t="shared" si="8"/>
        <v>0</v>
      </c>
      <c r="AM72" s="283">
        <f>IF(AC72&gt;0,Standing!$C$81*0.45,0)</f>
        <v>0</v>
      </c>
      <c r="AN72" s="284">
        <f>IF(AC72&gt;0,Standing!$C$81*0.55,0)</f>
        <v>0</v>
      </c>
      <c r="AO72" s="280">
        <f>IF(AC72&gt;0,Standing!$C$81*0.36,0)</f>
        <v>0</v>
      </c>
      <c r="AP72" s="281">
        <f>IF(AC72&gt;0,Standing!$C$81,0)</f>
        <v>0</v>
      </c>
      <c r="AQ72" s="282">
        <f>IF(AC72&gt;0,Standing!$C$85*0.9,0)</f>
        <v>0</v>
      </c>
      <c r="AR72" s="283">
        <f>IF(AC72&gt;0,Standing!$C$85*0.5,0)</f>
        <v>0</v>
      </c>
      <c r="AS72" s="284">
        <f>IF(AC72&gt;0,Standing!$C$85*0.66,0)</f>
        <v>0</v>
      </c>
      <c r="AT72" s="280">
        <f>IF(AC72&gt;0,Standing!$C$85*0.66,0)</f>
        <v>0</v>
      </c>
      <c r="AU72" s="281">
        <f>IF(AC72&gt;0,Standing!$C$75*0.2,0)</f>
        <v>0</v>
      </c>
      <c r="AV72" s="282">
        <f>IF(AC72&gt;0,Standing!$C$75*0.12,0)</f>
        <v>0</v>
      </c>
      <c r="AW72" s="283">
        <f>IF(AC72&gt;0,Standing!$C$26*0.4,0)</f>
        <v>0</v>
      </c>
      <c r="AX72" s="284">
        <f>IF(AC72&gt;0,Standing!$C$26*0.4,0)</f>
        <v>0</v>
      </c>
      <c r="AY72" s="280">
        <f>IF(AC72&gt;0,Standing!$C$26*0.2,0)</f>
        <v>0</v>
      </c>
      <c r="AZ72" s="281">
        <f>IF(AC72&gt;0,Standing!$C$26*0.33,0)</f>
        <v>0</v>
      </c>
      <c r="BA72" s="282">
        <f>IF(AC72&gt;0,Standing!$C$26*0.2,0)</f>
        <v>0</v>
      </c>
      <c r="BB72" s="283">
        <f>IF(AC72&gt;0,Standing!$C$26*0.2,0)</f>
        <v>0</v>
      </c>
      <c r="BC72" s="284">
        <f>IF(AC72&gt;0,Standing!$C$32*0.33,0)</f>
        <v>0</v>
      </c>
      <c r="BD72" s="280">
        <f>IF(AC72&gt;0,Standing!$C$32*0.5,0)</f>
        <v>0</v>
      </c>
      <c r="BE72" s="281">
        <f>IF(AC72&gt;0,Standing!$C$32*0.33,0)</f>
        <v>0</v>
      </c>
      <c r="BF72" s="282">
        <f>IF(AC72&gt;0,Standing!$C$32*0.33,0)</f>
        <v>0</v>
      </c>
      <c r="BG72" s="283">
        <f>IF(AC72&gt;0,Standing!$C$32*0.33,0)</f>
        <v>0</v>
      </c>
      <c r="BH72" s="284">
        <f>IF(AC72&gt;0,Standing!$C$32*0.33,0)</f>
        <v>0</v>
      </c>
      <c r="BI72" s="280">
        <f>IF(AC72&gt;0,Standing!$C$26*0.5,0)</f>
        <v>0</v>
      </c>
      <c r="BJ72" s="281">
        <f>IF(AC72&gt;0,Standing!$C$26*0.5,0)</f>
        <v>0</v>
      </c>
      <c r="BK72" s="282">
        <f>IF(AC72&gt;0,Standing!$C$26*0.5,0)</f>
        <v>0</v>
      </c>
      <c r="BL72" s="283">
        <f>IF(AC72&gt;0,Standing!$C$32*0.66,0)</f>
        <v>0</v>
      </c>
      <c r="BM72" s="281">
        <f>IF(AC72&gt;0,Standing!$C$32*0.9,0)</f>
        <v>0</v>
      </c>
      <c r="BN72" s="284">
        <f t="shared" si="9"/>
        <v>0</v>
      </c>
      <c r="BO72" s="282">
        <f>IF(AC72&gt;0,Standing!$C$32*0.5,0)</f>
        <v>0</v>
      </c>
      <c r="BP72" s="280">
        <f>IF(AC72&gt;0,Standing!$C$32*0.45,0)</f>
        <v>0</v>
      </c>
      <c r="BQ72" s="281">
        <f>IF(AC72&gt;0,Standing!$C$32*0.66,0)</f>
        <v>0</v>
      </c>
      <c r="BR72" s="282">
        <f>IF(AC72&gt;0,Standing!$C$32*0.33,0)</f>
        <v>0</v>
      </c>
      <c r="BS72" s="283">
        <f>IF(AC72&gt;0,Standing!$C$32*0.33,0)</f>
        <v>0</v>
      </c>
      <c r="BT72" s="284">
        <f>IF(AC72&gt;0,Standing!$C$32*0.3,0)</f>
        <v>0</v>
      </c>
      <c r="BU72" s="280">
        <f>IF(AC72&gt;0,Standing!$C$36*0.9,0)</f>
        <v>0</v>
      </c>
      <c r="BV72" s="281">
        <f>IF(AC72&gt;0,Standing!$C$36*0.45,0)</f>
        <v>0</v>
      </c>
      <c r="BW72" s="282">
        <f>IF(AC72&gt;0,Standing!$C$126*0.66,0)</f>
        <v>0</v>
      </c>
      <c r="BX72" s="283">
        <f>IF(AC72&gt;0,Standing!$C$126*0.66,0)</f>
        <v>0</v>
      </c>
      <c r="BY72" s="284">
        <f>IF(AC72&gt;0,Standing!$C$126*0.5,0)</f>
        <v>0</v>
      </c>
      <c r="BZ72" s="280">
        <f>IF(AC72&gt;0,Standing!$C$126*0.375,0)</f>
        <v>0</v>
      </c>
      <c r="CA72" s="281">
        <f>IF(AC72&gt;0,Standing!$C$132,0)</f>
        <v>0</v>
      </c>
      <c r="CB72" s="282">
        <f>IF(AC72&gt;0,Standing!$C$132*0.75,0)</f>
        <v>0</v>
      </c>
      <c r="CC72" s="283">
        <f>IF(AC72&gt;0,Standing!$C$132*0.66,0)</f>
        <v>0</v>
      </c>
      <c r="CD72" s="284">
        <f>IF(AC72&gt;0,Standing!$C$132*0.66,0)</f>
        <v>0</v>
      </c>
      <c r="CE72" s="280">
        <f>IF(AC72&gt;0,Standing!$C$132*0.4,0)</f>
        <v>0</v>
      </c>
      <c r="CF72" s="281">
        <f>IF(AC72&gt;0,Standing!$C$132*0.66,0)</f>
        <v>0</v>
      </c>
      <c r="CG72" s="282">
        <f>IF(AC72&gt;0,Standing!$C$132*0.66,0)</f>
        <v>0</v>
      </c>
      <c r="CH72" s="283">
        <f>IF(AC72&gt;0,Standing!$C$132*0.4,0)</f>
        <v>0</v>
      </c>
      <c r="CI72" s="284">
        <f>IF(AC72&gt;0,Standing!$C$132*0.4,0)</f>
        <v>0</v>
      </c>
      <c r="CJ72" s="280">
        <f>IF(AC72&gt;0,Standing!$C$132*0.66,0)</f>
        <v>0</v>
      </c>
      <c r="CK72" s="281">
        <f>IF(AC72&gt;0,Standing!$C$126*0.55,0)</f>
        <v>0</v>
      </c>
      <c r="CL72" s="282">
        <f>IF(AC72&gt;0,Standing!$C$126,0)</f>
        <v>0</v>
      </c>
      <c r="CM72" s="283">
        <f>IF(AC72&gt;0,Standing!$C$126*0.9,0)</f>
        <v>0</v>
      </c>
      <c r="CN72" s="284">
        <f>IF(AC72&gt;0,Standing!$C$126*0.55,0)</f>
        <v>0</v>
      </c>
      <c r="CO72" s="280">
        <f>IF(AC72&gt;0,Standing!$C$126*0.4,0)</f>
        <v>0</v>
      </c>
      <c r="CP72" s="281">
        <f>IF(AC72&gt;0,Standing!$C$26*0.25,0)</f>
        <v>0</v>
      </c>
      <c r="CQ72" s="282">
        <f>IF(AC72&gt;0,Standing!$C$26*0.165,0)</f>
        <v>0</v>
      </c>
      <c r="CR72" s="283">
        <f>IF(AC72&gt;0,Standing!$C$26*0.2,0)</f>
        <v>0</v>
      </c>
      <c r="CS72" s="285">
        <f>IF(AC72&gt;0,Standing!$C$26*0.16,0)</f>
        <v>0</v>
      </c>
      <c r="CT72" s="286"/>
      <c r="CU72" s="158" t="s">
        <v>25</v>
      </c>
    </row>
    <row r="73" ht="15.75" customHeight="1">
      <c r="A73" s="51"/>
      <c r="B73" s="296" t="s">
        <v>528</v>
      </c>
      <c r="C73" s="189">
        <f>IF(Standing!$C$26*0.125&gt;1,Standing!$C$26*0.125,1)</f>
        <v>1</v>
      </c>
      <c r="D73" s="218">
        <f t="shared" si="3"/>
        <v>0.3183091418</v>
      </c>
      <c r="E73" s="190">
        <f t="shared" si="4"/>
        <v>25.4</v>
      </c>
      <c r="F73" s="122">
        <f t="shared" si="5"/>
        <v>8.085052203</v>
      </c>
      <c r="G73" s="123">
        <f>C73/Introduction!$I$20</f>
        <v>0.01041666667</v>
      </c>
      <c r="H73" s="192">
        <f t="shared" si="6"/>
        <v>0.003315720227</v>
      </c>
      <c r="I73" s="124">
        <f>E73/Introduction!$I$20</f>
        <v>0.2645833333</v>
      </c>
      <c r="J73" s="125">
        <f t="shared" si="7"/>
        <v>0.08421929378</v>
      </c>
      <c r="K73" s="51"/>
      <c r="L73" s="51"/>
      <c r="M73" s="51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286"/>
      <c r="AB73" s="158" t="s">
        <v>40</v>
      </c>
      <c r="AC73" s="287">
        <f>IF('Ship Data Imperial'!E74&gt;0,'Ship Data Imperial'!E74,AD73)</f>
        <v>0</v>
      </c>
      <c r="AD73" s="287">
        <f>'Ship Data Metric'!E74*0.03280839895</f>
        <v>0</v>
      </c>
      <c r="AE73" s="284">
        <f>IF(AC73&gt;0,Standing!$C$75*0.45,0)</f>
        <v>0</v>
      </c>
      <c r="AF73" s="280">
        <f>IF(AC73&gt;0,Standing!$C$75*0.25,0)</f>
        <v>0</v>
      </c>
      <c r="AG73" s="281">
        <f>IF(AC73&gt;0,Standing!$C$75*0.2,0)</f>
        <v>0</v>
      </c>
      <c r="AH73" s="282">
        <f>IF(AC73&gt;0,Standing!$C$75*0.5,0)</f>
        <v>0</v>
      </c>
      <c r="AI73" s="283">
        <f>IF(AC73&gt;0,Standing!$C$75*0.2,0)</f>
        <v>0</v>
      </c>
      <c r="AJ73" s="284">
        <f>IF(AC73&gt;0,Standing!$C$75*0.25,0)</f>
        <v>0</v>
      </c>
      <c r="AK73" s="281">
        <f>IF(AC73&gt;0,Standing!$C$81*0.8,0)</f>
        <v>0</v>
      </c>
      <c r="AL73" s="282">
        <f t="shared" si="8"/>
        <v>0</v>
      </c>
      <c r="AM73" s="283">
        <f>IF(AC73&gt;0,Standing!$C$81*0.45,0)</f>
        <v>0</v>
      </c>
      <c r="AN73" s="284">
        <f>IF(AC73&gt;0,Standing!$C$81*0.55,0)</f>
        <v>0</v>
      </c>
      <c r="AO73" s="280">
        <f>IF(AC73&gt;0,Standing!$C$81*0.36,0)</f>
        <v>0</v>
      </c>
      <c r="AP73" s="281">
        <f>IF(AC73&gt;0,Standing!$C$81*0.9,0)</f>
        <v>0</v>
      </c>
      <c r="AQ73" s="282">
        <f>IF(AC73&gt;0,Standing!$C$85*0.9,0)</f>
        <v>0</v>
      </c>
      <c r="AR73" s="283">
        <f>IF(AC73&gt;0,Standing!$C$85*0.5,0)</f>
        <v>0</v>
      </c>
      <c r="AS73" s="284">
        <f>IF(AC73&gt;0,Standing!$C$85*0.66,0)</f>
        <v>0</v>
      </c>
      <c r="AT73" s="280">
        <f>IF(AC73&gt;0,Standing!$C$85*0.66,0)</f>
        <v>0</v>
      </c>
      <c r="AU73" s="281">
        <f>IF(AC73&gt;0,Standing!$C$75*0.2,0)</f>
        <v>0</v>
      </c>
      <c r="AV73" s="282">
        <f>IF(AC73&gt;0,Standing!$C$75*0.12,0)</f>
        <v>0</v>
      </c>
      <c r="AW73" s="283">
        <f>IF(AC73&gt;0,Standing!$C$26*0.4,0)</f>
        <v>0</v>
      </c>
      <c r="AX73" s="284">
        <f>IF(AC73&gt;0,Standing!$C$26*0.4,0)</f>
        <v>0</v>
      </c>
      <c r="AY73" s="280">
        <f>IF(AC73&gt;0,Standing!$C$26*0.2,0)</f>
        <v>0</v>
      </c>
      <c r="AZ73" s="281">
        <f>IF(AC73&gt;0,Standing!$C$26*0.33,0)</f>
        <v>0</v>
      </c>
      <c r="BA73" s="282">
        <f>IF(AC73&gt;0,Standing!$C$26*0.2,0)</f>
        <v>0</v>
      </c>
      <c r="BB73" s="283">
        <f>IF(AC73&gt;0,Standing!$C$26*0.2,0)</f>
        <v>0</v>
      </c>
      <c r="BC73" s="284">
        <f>IF(AC73&gt;0,Standing!$C$32*0.33,0)</f>
        <v>0</v>
      </c>
      <c r="BD73" s="280">
        <f>IF(AC73&gt;0,Standing!$C$32*0.5,0)</f>
        <v>0</v>
      </c>
      <c r="BE73" s="281">
        <f>IF(AC73&gt;0,Standing!$C$32*0.33,0)</f>
        <v>0</v>
      </c>
      <c r="BF73" s="282">
        <f>IF(AC73&gt;0,Standing!$C$32*0.33,0)</f>
        <v>0</v>
      </c>
      <c r="BG73" s="283">
        <f>IF(AC73&gt;0,Standing!$C$32*0.33,0)</f>
        <v>0</v>
      </c>
      <c r="BH73" s="284">
        <f>IF(AC73&gt;0,Standing!$C$32*0.4,0)</f>
        <v>0</v>
      </c>
      <c r="BI73" s="280">
        <f>IF(AC73&gt;0,Standing!$C$26*0.5,0)</f>
        <v>0</v>
      </c>
      <c r="BJ73" s="281">
        <f>IF(AC73&gt;0,Standing!$C$26*0.5,0)</f>
        <v>0</v>
      </c>
      <c r="BK73" s="282">
        <f>IF(AC73&gt;0,Standing!$C$26*0.5,0)</f>
        <v>0</v>
      </c>
      <c r="BL73" s="283">
        <f>IF(AC73&gt;0,Standing!$C$32*0.66,0)</f>
        <v>0</v>
      </c>
      <c r="BM73" s="281">
        <f>IF(AC73&gt;0,Standing!$C$32*0.85,0)</f>
        <v>0</v>
      </c>
      <c r="BN73" s="284">
        <f t="shared" si="9"/>
        <v>0</v>
      </c>
      <c r="BO73" s="282">
        <f>IF(AC73&gt;0,Standing!$C$32*0.5,0)</f>
        <v>0</v>
      </c>
      <c r="BP73" s="280">
        <f>IF(AC73&gt;0,Standing!$C$32*0.45,0)</f>
        <v>0</v>
      </c>
      <c r="BQ73" s="281">
        <f>IF(AC73&gt;0,Standing!$C$32*0.66,0)</f>
        <v>0</v>
      </c>
      <c r="BR73" s="282">
        <f>IF(AC73&gt;0,Standing!$C$32*0.33,0)</f>
        <v>0</v>
      </c>
      <c r="BS73" s="283">
        <f>IF(AC73&gt;0,Standing!$C$32*0.33,0)</f>
        <v>0</v>
      </c>
      <c r="BT73" s="284">
        <f>IF(AC73&gt;0,Standing!$C$32*0.3,0)</f>
        <v>0</v>
      </c>
      <c r="BU73" s="280">
        <f>IF(AC73&gt;0,Standing!$C$36*0.9,0)</f>
        <v>0</v>
      </c>
      <c r="BV73" s="281">
        <f>IF(AC73&gt;0,Standing!$C$36*0.45,0)</f>
        <v>0</v>
      </c>
      <c r="BW73" s="282">
        <f>IF(AC73&gt;0,Standing!$C$126*0.66,0)</f>
        <v>0</v>
      </c>
      <c r="BX73" s="283">
        <f>IF(AC73&gt;0,Standing!$C$126*0.66,0)</f>
        <v>0</v>
      </c>
      <c r="BY73" s="284">
        <f>IF(AC73&gt;0,Standing!$C$126*0.5,0)</f>
        <v>0</v>
      </c>
      <c r="BZ73" s="280">
        <f>IF(AC73&gt;0,Standing!$C$126*0.375,0)</f>
        <v>0</v>
      </c>
      <c r="CA73" s="281">
        <f>IF(AC73&gt;0,Standing!$C$132,0)</f>
        <v>0</v>
      </c>
      <c r="CB73" s="282">
        <f>IF(AC73&gt;0,Standing!$C$132*0.75,0)</f>
        <v>0</v>
      </c>
      <c r="CC73" s="283">
        <f>IF(AC73&gt;0,Standing!$C$132*0.66,0)</f>
        <v>0</v>
      </c>
      <c r="CD73" s="284">
        <f>IF(AC73&gt;0,Standing!$C$132*0.66,0)</f>
        <v>0</v>
      </c>
      <c r="CE73" s="280">
        <f>IF(AC73&gt;0,Standing!$C$132*0.4,0)</f>
        <v>0</v>
      </c>
      <c r="CF73" s="281">
        <f>IF(AC73&gt;0,Standing!$C$132*0.66,0)</f>
        <v>0</v>
      </c>
      <c r="CG73" s="282">
        <f>IF(AC73&gt;0,Standing!$C$132*0.66,0)</f>
        <v>0</v>
      </c>
      <c r="CH73" s="283">
        <f>IF(AC73&gt;0,Standing!$C$132*0.4,0)</f>
        <v>0</v>
      </c>
      <c r="CI73" s="284">
        <f>IF(AC73&gt;0,Standing!$C$132*0.4,0)</f>
        <v>0</v>
      </c>
      <c r="CJ73" s="280">
        <f>IF(AC73&gt;0,Standing!$C$132*0.66,0)</f>
        <v>0</v>
      </c>
      <c r="CK73" s="281">
        <f>IF(AC73&gt;0,Standing!$C$126*0.55,0)</f>
        <v>0</v>
      </c>
      <c r="CL73" s="282">
        <f>IF(AC73&gt;0,Standing!$C$126,0)</f>
        <v>0</v>
      </c>
      <c r="CM73" s="283">
        <f>IF(AC73&gt;0,Standing!$C$126*0.9,0)</f>
        <v>0</v>
      </c>
      <c r="CN73" s="284">
        <f>IF(AC73&gt;0,Standing!$C$126*0.55,0)</f>
        <v>0</v>
      </c>
      <c r="CO73" s="280">
        <f>IF(AC73&gt;0,Standing!$C$126*0.4,0)</f>
        <v>0</v>
      </c>
      <c r="CP73" s="281">
        <f>IF(AC73&gt;0,Standing!$C$26*0.25,0)</f>
        <v>0</v>
      </c>
      <c r="CQ73" s="282">
        <f>IF(AC73&gt;0,Standing!$C$26*0.2,0)</f>
        <v>0</v>
      </c>
      <c r="CR73" s="283">
        <f>IF(AC73&gt;0,Standing!$C$26*0.25,0)</f>
        <v>0</v>
      </c>
      <c r="CS73" s="285">
        <f>IF(AC73&gt;0,Standing!$C$26*0.2,0)</f>
        <v>0</v>
      </c>
      <c r="CT73" s="286"/>
      <c r="CU73" s="158" t="s">
        <v>40</v>
      </c>
    </row>
    <row r="74" ht="15.75" customHeight="1">
      <c r="A74" s="51"/>
      <c r="B74" s="297" t="s">
        <v>529</v>
      </c>
      <c r="C74" s="189">
        <f>Standing!$C$26*0.2</f>
        <v>1.178700787</v>
      </c>
      <c r="D74" s="218">
        <f t="shared" si="3"/>
        <v>0.3751912361</v>
      </c>
      <c r="E74" s="190">
        <f t="shared" si="4"/>
        <v>29.939</v>
      </c>
      <c r="F74" s="122">
        <f t="shared" si="5"/>
        <v>9.529857397</v>
      </c>
      <c r="G74" s="123">
        <f>C74/Introduction!$I$20</f>
        <v>0.0122781332</v>
      </c>
      <c r="H74" s="192">
        <f t="shared" si="6"/>
        <v>0.003908242043</v>
      </c>
      <c r="I74" s="124">
        <f>E74/Introduction!$I$20</f>
        <v>0.3118645833</v>
      </c>
      <c r="J74" s="125">
        <f t="shared" si="7"/>
        <v>0.09926934789</v>
      </c>
      <c r="K74" s="51"/>
      <c r="L74" s="51"/>
      <c r="M74" s="51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286"/>
      <c r="AB74" s="158" t="s">
        <v>41</v>
      </c>
      <c r="AC74" s="287">
        <f>IF('Ship Data Imperial'!E75&gt;0,'Ship Data Imperial'!E75,AD74)</f>
        <v>0</v>
      </c>
      <c r="AD74" s="287">
        <f>'Ship Data Metric'!E75*0.03280839895</f>
        <v>0</v>
      </c>
      <c r="AE74" s="284">
        <f>IF(AC74&gt;0,Standing!$C$75*0.45,0)</f>
        <v>0</v>
      </c>
      <c r="AF74" s="280">
        <f>IF(AC74&gt;0,Standing!$C$75*0.25,0)</f>
        <v>0</v>
      </c>
      <c r="AG74" s="281">
        <f>IF(AC74&gt;0,Standing!$C$75*0.2,0)</f>
        <v>0</v>
      </c>
      <c r="AH74" s="282">
        <f>IF(AC74&gt;0,Standing!$C$75*0.5,0)</f>
        <v>0</v>
      </c>
      <c r="AI74" s="283">
        <f>IF(AC74&gt;0,Standing!$C$75*0.2,0)</f>
        <v>0</v>
      </c>
      <c r="AJ74" s="284">
        <f>IF(AC74&gt;0,Standing!$C$75*0.25,0)</f>
        <v>0</v>
      </c>
      <c r="AK74" s="281">
        <f>IF(AC74&gt;0,Standing!$C$81*0.8,0)</f>
        <v>0</v>
      </c>
      <c r="AL74" s="282">
        <f t="shared" si="8"/>
        <v>0</v>
      </c>
      <c r="AM74" s="283">
        <f>IF(AC74&gt;0,Standing!$C$81*0.45,0)</f>
        <v>0</v>
      </c>
      <c r="AN74" s="284">
        <f>IF(AC74&gt;0,Standing!$C$81*0.55,0)</f>
        <v>0</v>
      </c>
      <c r="AO74" s="280">
        <f>IF(AC74&gt;0,Standing!$C$81*0.36,0)</f>
        <v>0</v>
      </c>
      <c r="AP74" s="281">
        <f>IF(AC74&gt;0,Standing!$C$81*0.9,0)</f>
        <v>0</v>
      </c>
      <c r="AQ74" s="282">
        <f>IF(AC74&gt;0,Standing!$C$85*0.9,0)</f>
        <v>0</v>
      </c>
      <c r="AR74" s="283">
        <f>IF(AC74&gt;0,Standing!$C$85*0.5,0)</f>
        <v>0</v>
      </c>
      <c r="AS74" s="284">
        <f>IF(AC74&gt;0,Standing!$C$85*0.66,0)</f>
        <v>0</v>
      </c>
      <c r="AT74" s="280">
        <f>IF(AC74&gt;0,Standing!$C$85*0.66,0)</f>
        <v>0</v>
      </c>
      <c r="AU74" s="281">
        <f>IF(AC74&gt;0,Standing!$C$75*0.2,0)</f>
        <v>0</v>
      </c>
      <c r="AV74" s="282">
        <f>IF(AC74&gt;0,Standing!$C$75*0.12,0)</f>
        <v>0</v>
      </c>
      <c r="AW74" s="283">
        <f>IF(AC74&gt;0,Standing!$C$26*0.4,0)</f>
        <v>0</v>
      </c>
      <c r="AX74" s="284">
        <f>IF(AC74&gt;0,Standing!$C$26*0.4,0)</f>
        <v>0</v>
      </c>
      <c r="AY74" s="280">
        <f>IF(AC74&gt;0,Standing!$C$26*0.2,0)</f>
        <v>0</v>
      </c>
      <c r="AZ74" s="281">
        <f>IF(AC74&gt;0,Standing!$C$26*0.33,0)</f>
        <v>0</v>
      </c>
      <c r="BA74" s="282">
        <f>IF(AC74&gt;0,Standing!$C$26*0.2,0)</f>
        <v>0</v>
      </c>
      <c r="BB74" s="283">
        <f>IF(AC74&gt;0,Standing!$C$26*0.2,0)</f>
        <v>0</v>
      </c>
      <c r="BC74" s="284">
        <f>IF(AC74&gt;0,Standing!$C$32*0.33,0)</f>
        <v>0</v>
      </c>
      <c r="BD74" s="280">
        <f>IF(AC74&gt;0,Standing!$C$32*0.5,0)</f>
        <v>0</v>
      </c>
      <c r="BE74" s="281">
        <f>IF(AC74&gt;0,Standing!$C$32*0.33,0)</f>
        <v>0</v>
      </c>
      <c r="BF74" s="282">
        <f>IF(AC74&gt;0,Standing!$C$32*0.33,0)</f>
        <v>0</v>
      </c>
      <c r="BG74" s="283">
        <f>IF(AC74&gt;0,Standing!$C$32*0.33,0)</f>
        <v>0</v>
      </c>
      <c r="BH74" s="284">
        <f>IF(AC74&gt;0,Standing!$C$32*0.4,0)</f>
        <v>0</v>
      </c>
      <c r="BI74" s="280">
        <f>IF(AC74&gt;0,Standing!$C$26*0.5,0)</f>
        <v>0</v>
      </c>
      <c r="BJ74" s="281">
        <f>IF(AC74&gt;0,Standing!$C$26*0.5,0)</f>
        <v>0</v>
      </c>
      <c r="BK74" s="282">
        <f>IF(AC74&gt;0,Standing!$C$26*0.5,0)</f>
        <v>0</v>
      </c>
      <c r="BL74" s="283">
        <f>IF(AC74&gt;0,Standing!$C$32*0.66,0)</f>
        <v>0</v>
      </c>
      <c r="BM74" s="281">
        <f>IF(AC74&gt;0,Standing!$C$32*0.85,0)</f>
        <v>0</v>
      </c>
      <c r="BN74" s="284">
        <f t="shared" si="9"/>
        <v>0</v>
      </c>
      <c r="BO74" s="282">
        <f>IF(AC74&gt;0,Standing!$C$32*0.5,0)</f>
        <v>0</v>
      </c>
      <c r="BP74" s="280">
        <f>IF(AC74&gt;0,Standing!$C$32*0.45,0)</f>
        <v>0</v>
      </c>
      <c r="BQ74" s="281">
        <f>IF(AC74&gt;0,Standing!$C$32*0.66,0)</f>
        <v>0</v>
      </c>
      <c r="BR74" s="282">
        <f>IF(AC74&gt;0,Standing!$C$32*0.33,0)</f>
        <v>0</v>
      </c>
      <c r="BS74" s="283">
        <f>IF(AC74&gt;0,Standing!$C$32*0.33,0)</f>
        <v>0</v>
      </c>
      <c r="BT74" s="284">
        <f>IF(AC74&gt;0,Standing!$C$32*0.3,0)</f>
        <v>0</v>
      </c>
      <c r="BU74" s="280">
        <f>IF(AC74&gt;0,Standing!$C$36*0.9,0)</f>
        <v>0</v>
      </c>
      <c r="BV74" s="281">
        <f>IF(AC74&gt;0,Standing!$C$36*0.45,0)</f>
        <v>0</v>
      </c>
      <c r="BW74" s="282">
        <f>IF(AC74&gt;0,Standing!$C$126*0.66,0)</f>
        <v>0</v>
      </c>
      <c r="BX74" s="283">
        <f>IF(AC74&gt;0,Standing!$C$126*0.66,0)</f>
        <v>0</v>
      </c>
      <c r="BY74" s="284">
        <f>IF(AC74&gt;0,Standing!$C$126*0.5,0)</f>
        <v>0</v>
      </c>
      <c r="BZ74" s="280">
        <f>IF(AC74&gt;0,Standing!$C$126*0.375,0)</f>
        <v>0</v>
      </c>
      <c r="CA74" s="281">
        <f>IF(AC74&gt;0,Standing!$C$132,0)</f>
        <v>0</v>
      </c>
      <c r="CB74" s="282">
        <f>IF(AC74&gt;0,Standing!$C$132*0.75,0)</f>
        <v>0</v>
      </c>
      <c r="CC74" s="283">
        <f>IF(AC74&gt;0,Standing!$C$132*0.66,0)</f>
        <v>0</v>
      </c>
      <c r="CD74" s="284">
        <f>IF(AC74&gt;0,Standing!$C$132*0.66,0)</f>
        <v>0</v>
      </c>
      <c r="CE74" s="280">
        <f>IF(AC74&gt;0,Standing!$C$132*0.4,0)</f>
        <v>0</v>
      </c>
      <c r="CF74" s="281">
        <f>IF(AC74&gt;0,Standing!$C$132*0.66,0)</f>
        <v>0</v>
      </c>
      <c r="CG74" s="282">
        <f>IF(AC74&gt;0,Standing!$C$132*0.66,0)</f>
        <v>0</v>
      </c>
      <c r="CH74" s="283">
        <f>IF(AC74&gt;0,Standing!$C$132*0.4,0)</f>
        <v>0</v>
      </c>
      <c r="CI74" s="284">
        <f>IF(AC74&gt;0,Standing!$C$132*0.4,0)</f>
        <v>0</v>
      </c>
      <c r="CJ74" s="280">
        <f>IF(AC74&gt;0,Standing!$C$132*0.66,0)</f>
        <v>0</v>
      </c>
      <c r="CK74" s="281">
        <f>IF(AC74&gt;0,Standing!$C$126*0.55,0)</f>
        <v>0</v>
      </c>
      <c r="CL74" s="282">
        <f>IF(AC74&gt;0,Standing!$C$126,0)</f>
        <v>0</v>
      </c>
      <c r="CM74" s="283">
        <f>IF(AC74&gt;0,Standing!$C$126*0.9,0)</f>
        <v>0</v>
      </c>
      <c r="CN74" s="284">
        <f>IF(AC74&gt;0,Standing!$C$126*0.55,0)</f>
        <v>0</v>
      </c>
      <c r="CO74" s="280">
        <f>IF(AC74&gt;0,Standing!$C$126*0.4,0)</f>
        <v>0</v>
      </c>
      <c r="CP74" s="281">
        <f>IF(AC74&gt;0,Standing!$C$26*0.25,0)</f>
        <v>0</v>
      </c>
      <c r="CQ74" s="282">
        <f>IF(AC74&gt;0,Standing!$C$26*0.2,0)</f>
        <v>0</v>
      </c>
      <c r="CR74" s="283">
        <f>IF(AC74&gt;0,Standing!$C$26*0.25,0)</f>
        <v>0</v>
      </c>
      <c r="CS74" s="285">
        <f>IF(AC74&gt;0,Standing!$C$26*0.2,0)</f>
        <v>0</v>
      </c>
      <c r="CT74" s="286"/>
      <c r="CU74" s="158" t="s">
        <v>41</v>
      </c>
    </row>
    <row r="75" ht="15.75" customHeight="1">
      <c r="A75" s="51"/>
      <c r="B75" s="296" t="s">
        <v>530</v>
      </c>
      <c r="C75" s="189">
        <f>IF(Standing!$C$26*0.1&gt;1,Standing!$C$26*0.1,1)</f>
        <v>1</v>
      </c>
      <c r="D75" s="218">
        <f t="shared" si="3"/>
        <v>0.3183091418</v>
      </c>
      <c r="E75" s="190">
        <f t="shared" si="4"/>
        <v>25.4</v>
      </c>
      <c r="F75" s="122">
        <f t="shared" si="5"/>
        <v>8.085052203</v>
      </c>
      <c r="G75" s="123">
        <f>C75/Introduction!$I$20</f>
        <v>0.01041666667</v>
      </c>
      <c r="H75" s="192">
        <f t="shared" si="6"/>
        <v>0.003315720227</v>
      </c>
      <c r="I75" s="124">
        <f>E75/Introduction!$I$20</f>
        <v>0.2645833333</v>
      </c>
      <c r="J75" s="125">
        <f t="shared" si="7"/>
        <v>0.08421929378</v>
      </c>
      <c r="K75" s="51"/>
      <c r="L75" s="51"/>
      <c r="M75" s="51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286"/>
      <c r="AB75" s="158" t="s">
        <v>42</v>
      </c>
      <c r="AC75" s="287">
        <f>IF('Ship Data Imperial'!E76&gt;0,'Ship Data Imperial'!E76,AD75)</f>
        <v>0</v>
      </c>
      <c r="AD75" s="287">
        <f>'Ship Data Metric'!E76*0.03280839895</f>
        <v>0</v>
      </c>
      <c r="AE75" s="284">
        <f>IF(AC75&gt;0,Standing!$C$75*0.45,0)</f>
        <v>0</v>
      </c>
      <c r="AF75" s="280">
        <f>IF(AC75&gt;0,Standing!$C$75*0.33,0)</f>
        <v>0</v>
      </c>
      <c r="AG75" s="281">
        <f>IF(AC75&gt;0,Standing!$C$75*0.2,0)</f>
        <v>0</v>
      </c>
      <c r="AH75" s="282">
        <f>IF(AC75&gt;0,Standing!$C$75*0.5,0)</f>
        <v>0</v>
      </c>
      <c r="AI75" s="283">
        <f>IF(AC75&gt;0,Standing!$C$75*0.2,0)</f>
        <v>0</v>
      </c>
      <c r="AJ75" s="284">
        <f>IF(AC75&gt;0,Standing!$C$75*0.25,0)</f>
        <v>0</v>
      </c>
      <c r="AK75" s="281">
        <f>IF(AC75&gt;0,Standing!$C$81*0.8,0)</f>
        <v>0</v>
      </c>
      <c r="AL75" s="282">
        <f t="shared" si="8"/>
        <v>0</v>
      </c>
      <c r="AM75" s="283">
        <f>IF(AC75&gt;0,Standing!$C$81*0.45,0)</f>
        <v>0</v>
      </c>
      <c r="AN75" s="284">
        <f>IF(AC75&gt;0,Standing!$C$81*0.55,0)</f>
        <v>0</v>
      </c>
      <c r="AO75" s="280">
        <f>IF(AC75&gt;0,Standing!$C$81*0.36,0)</f>
        <v>0</v>
      </c>
      <c r="AP75" s="281">
        <f>IF(AC75&gt;0,Standing!$C$81*0.9,0)</f>
        <v>0</v>
      </c>
      <c r="AQ75" s="282">
        <f>IF(AC75&gt;0,Standing!$C$85*0.9,0)</f>
        <v>0</v>
      </c>
      <c r="AR75" s="283">
        <f>IF(AC75&gt;0,Standing!$C$85*0.5,0)</f>
        <v>0</v>
      </c>
      <c r="AS75" s="284">
        <f>IF(AC75&gt;0,Standing!$C$85*0.66,0)</f>
        <v>0</v>
      </c>
      <c r="AT75" s="280">
        <f>IF(AC75&gt;0,Standing!$C$85*0.66,0)</f>
        <v>0</v>
      </c>
      <c r="AU75" s="281">
        <f>IF(AC75&gt;0,Standing!$C$75*0.25,0)</f>
        <v>0</v>
      </c>
      <c r="AV75" s="282">
        <f>IF(AC75&gt;0,Standing!$C$75*0.12,0)</f>
        <v>0</v>
      </c>
      <c r="AW75" s="283">
        <f>IF(AC75&gt;0,Standing!$C$26*0.4,0)</f>
        <v>0</v>
      </c>
      <c r="AX75" s="284">
        <f>IF(AC75&gt;0,Standing!$C$26*0.4,0)</f>
        <v>0</v>
      </c>
      <c r="AY75" s="280">
        <f>IF(AC75&gt;0,Standing!$C$26*0.2,0)</f>
        <v>0</v>
      </c>
      <c r="AZ75" s="281">
        <f>IF(AC75&gt;0,Standing!$C$26*0.33,0)</f>
        <v>0</v>
      </c>
      <c r="BA75" s="282">
        <f>IF(AC75&gt;0,Standing!$C$26*0.2,0)</f>
        <v>0</v>
      </c>
      <c r="BB75" s="283">
        <f>IF(AC75&gt;0,Standing!$C$26*0.2,0)</f>
        <v>0</v>
      </c>
      <c r="BC75" s="284">
        <f>IF(AC75&gt;0,Standing!$C$32*0.33,0)</f>
        <v>0</v>
      </c>
      <c r="BD75" s="280">
        <f>IF(AC75&gt;0,Standing!$C$32*0.5,0)</f>
        <v>0</v>
      </c>
      <c r="BE75" s="281">
        <f>IF(AC75&gt;0,Standing!$C$32*0.33,0)</f>
        <v>0</v>
      </c>
      <c r="BF75" s="282">
        <f>IF(AC75&gt;0,Standing!$C$32*0.33,0)</f>
        <v>0</v>
      </c>
      <c r="BG75" s="283">
        <f>IF(AC75&gt;0,Standing!$C$32*0.33,0)</f>
        <v>0</v>
      </c>
      <c r="BH75" s="284">
        <f>IF(AC75&gt;0,Standing!$C$32*0.4,0)</f>
        <v>0</v>
      </c>
      <c r="BI75" s="280">
        <f>IF(AC75&gt;0,Standing!$C$26*0.5,0)</f>
        <v>0</v>
      </c>
      <c r="BJ75" s="281">
        <f>IF(AC75&gt;0,Standing!$C$26*0.5,0)</f>
        <v>0</v>
      </c>
      <c r="BK75" s="282">
        <f>IF(AC75&gt;0,Standing!$C$26*0.5,0)</f>
        <v>0</v>
      </c>
      <c r="BL75" s="283">
        <f>IF(AC75&gt;0,Standing!$C$32*0.66,0)</f>
        <v>0</v>
      </c>
      <c r="BM75" s="281">
        <f>IF(AC75&gt;0,Standing!$C$32*0.85,0)</f>
        <v>0</v>
      </c>
      <c r="BN75" s="284">
        <f t="shared" si="9"/>
        <v>0</v>
      </c>
      <c r="BO75" s="282">
        <f>IF(AC75&gt;0,Standing!$C$32*0.45,0)</f>
        <v>0</v>
      </c>
      <c r="BP75" s="280">
        <f>IF(AC75&gt;0,Standing!$C$32*0.45,0)</f>
        <v>0</v>
      </c>
      <c r="BQ75" s="281">
        <f>IF(AC75&gt;0,Standing!$C$32*0.66,0)</f>
        <v>0</v>
      </c>
      <c r="BR75" s="282">
        <f>IF(AC75&gt;0,Standing!$C$32*0.33,0)</f>
        <v>0</v>
      </c>
      <c r="BS75" s="283">
        <f>IF(AC75&gt;0,Standing!$C$32*0.33,0)</f>
        <v>0</v>
      </c>
      <c r="BT75" s="284">
        <f>IF(AC75&gt;0,Standing!$C$32*0.3,0)</f>
        <v>0</v>
      </c>
      <c r="BU75" s="280">
        <f>IF(AC75&gt;0,Standing!$C$36*0.9,0)</f>
        <v>0</v>
      </c>
      <c r="BV75" s="281">
        <f>IF(AC75&gt;0,Standing!$C$36*0.45,0)</f>
        <v>0</v>
      </c>
      <c r="BW75" s="282">
        <f>IF(AC75&gt;0,Standing!$C$126*0.66,0)</f>
        <v>0</v>
      </c>
      <c r="BX75" s="283">
        <f>IF(AC75&gt;0,Standing!$C$126*0.66,0)</f>
        <v>0</v>
      </c>
      <c r="BY75" s="284">
        <f>IF(AC75&gt;0,Standing!$C$126*0.5,0)</f>
        <v>0</v>
      </c>
      <c r="BZ75" s="280">
        <f>IF(AC75&gt;0,Standing!$C$126*0.375,0)</f>
        <v>0</v>
      </c>
      <c r="CA75" s="281">
        <f>IF(AC75&gt;0,Standing!$C$132,0)</f>
        <v>0</v>
      </c>
      <c r="CB75" s="282">
        <f>IF(AC75&gt;0,Standing!$C$132*0.75,0)</f>
        <v>0</v>
      </c>
      <c r="CC75" s="283">
        <f>IF(AC75&gt;0,Standing!$C$132*0.66,0)</f>
        <v>0</v>
      </c>
      <c r="CD75" s="284">
        <f>IF(AC75&gt;0,Standing!$C$132*0.66,0)</f>
        <v>0</v>
      </c>
      <c r="CE75" s="280">
        <f>IF(AC75&gt;0,Standing!$C$132*0.5,0)</f>
        <v>0</v>
      </c>
      <c r="CF75" s="281">
        <f>IF(AC75&gt;0,Standing!$C$132*0.66,0)</f>
        <v>0</v>
      </c>
      <c r="CG75" s="282">
        <f>IF(AC75&gt;0,Standing!$C$132*0.66,0)</f>
        <v>0</v>
      </c>
      <c r="CH75" s="283">
        <f>IF(AC75&gt;0,Standing!$C$132*0.4,0)</f>
        <v>0</v>
      </c>
      <c r="CI75" s="284">
        <f>IF(AC75&gt;0,Standing!$C$132*0.4,0)</f>
        <v>0</v>
      </c>
      <c r="CJ75" s="280">
        <f>IF(AC75&gt;0,Standing!$C$132*0.66,0)</f>
        <v>0</v>
      </c>
      <c r="CK75" s="281">
        <f>IF(AC75&gt;0,Standing!$C$126*0.55,0)</f>
        <v>0</v>
      </c>
      <c r="CL75" s="282">
        <f>IF(AC75&gt;0,Standing!$C$126,0)</f>
        <v>0</v>
      </c>
      <c r="CM75" s="283">
        <f>IF(AC75&gt;0,Standing!$C$126*0.9,0)</f>
        <v>0</v>
      </c>
      <c r="CN75" s="284">
        <f>IF(AC75&gt;0,Standing!$C$126*0.55,0)</f>
        <v>0</v>
      </c>
      <c r="CO75" s="280">
        <f>IF(AC75&gt;0,Standing!$C$126*0.4,0)</f>
        <v>0</v>
      </c>
      <c r="CP75" s="281">
        <f>IF(AC75&gt;0,Standing!$C$26*0.33,0)</f>
        <v>0</v>
      </c>
      <c r="CQ75" s="282">
        <f>IF(AC75&gt;0,Standing!$C$26*0.2,0)</f>
        <v>0</v>
      </c>
      <c r="CR75" s="283">
        <f>IF(AC75&gt;0,Standing!$C$26*0.25,0)</f>
        <v>0</v>
      </c>
      <c r="CS75" s="285">
        <f>IF(AC75&gt;0,Standing!$C$26*0.2,0)</f>
        <v>0</v>
      </c>
      <c r="CT75" s="286"/>
      <c r="CU75" s="158" t="s">
        <v>42</v>
      </c>
    </row>
    <row r="76" ht="15.75" customHeight="1">
      <c r="A76" s="51"/>
      <c r="B76" s="296" t="s">
        <v>531</v>
      </c>
      <c r="C76" s="189">
        <f>Standing!$C$26*0.2</f>
        <v>1.178700787</v>
      </c>
      <c r="D76" s="218">
        <f t="shared" si="3"/>
        <v>0.3751912361</v>
      </c>
      <c r="E76" s="190">
        <f t="shared" si="4"/>
        <v>29.939</v>
      </c>
      <c r="F76" s="122">
        <f t="shared" si="5"/>
        <v>9.529857397</v>
      </c>
      <c r="G76" s="123">
        <f>C76/Introduction!$I$20</f>
        <v>0.0122781332</v>
      </c>
      <c r="H76" s="192">
        <f t="shared" si="6"/>
        <v>0.003908242043</v>
      </c>
      <c r="I76" s="124">
        <f>E76/Introduction!$I$20</f>
        <v>0.3118645833</v>
      </c>
      <c r="J76" s="125">
        <f t="shared" si="7"/>
        <v>0.09926934789</v>
      </c>
      <c r="K76" s="51"/>
      <c r="L76" s="51"/>
      <c r="M76" s="51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286"/>
      <c r="AB76" s="158" t="s">
        <v>43</v>
      </c>
      <c r="AC76" s="287">
        <f>IF('Ship Data Imperial'!E77&gt;0,'Ship Data Imperial'!E77,AD76)</f>
        <v>0</v>
      </c>
      <c r="AD76" s="287">
        <f>'Ship Data Metric'!E77*0.03280839895</f>
        <v>0</v>
      </c>
      <c r="AE76" s="284">
        <f>IF(AC76&gt;0,Standing!$C$75*0.45,0)</f>
        <v>0</v>
      </c>
      <c r="AF76" s="280">
        <f>IF(AC76&gt;0,Standing!$C$75*0.33,0)</f>
        <v>0</v>
      </c>
      <c r="AG76" s="281">
        <f>IF(AC76&gt;0,Standing!$C$75*0.2,0)</f>
        <v>0</v>
      </c>
      <c r="AH76" s="282">
        <f>IF(AC76&gt;0,Standing!$C$75*0.5,0)</f>
        <v>0</v>
      </c>
      <c r="AI76" s="283">
        <f>IF(AC76&gt;0,Standing!$C$75*0.2,0)</f>
        <v>0</v>
      </c>
      <c r="AJ76" s="284">
        <f>IF(AC76&gt;0,Standing!$C$75*0.25,0)</f>
        <v>0</v>
      </c>
      <c r="AK76" s="281">
        <f>IF(AC76&gt;0,Standing!$C$81*0.8,0)</f>
        <v>0</v>
      </c>
      <c r="AL76" s="282">
        <f t="shared" si="8"/>
        <v>0</v>
      </c>
      <c r="AM76" s="283">
        <f>IF(AC76&gt;0,Standing!$C$81*0.45,0)</f>
        <v>0</v>
      </c>
      <c r="AN76" s="284">
        <f>IF(AC76&gt;0,Standing!$C$81*0.55,0)</f>
        <v>0</v>
      </c>
      <c r="AO76" s="280">
        <f>IF(AC76&gt;0,Standing!$C$81*0.36,0)</f>
        <v>0</v>
      </c>
      <c r="AP76" s="281">
        <f>IF(AC76&gt;0,Standing!$C$81*0.9,0)</f>
        <v>0</v>
      </c>
      <c r="AQ76" s="282">
        <f>IF(AC76&gt;0,Standing!$C$85*0.9,0)</f>
        <v>0</v>
      </c>
      <c r="AR76" s="283">
        <f>IF(AC76&gt;0,Standing!$C$85*0.5,0)</f>
        <v>0</v>
      </c>
      <c r="AS76" s="284">
        <f>IF(AC76&gt;0,Standing!$C$85*0.66,0)</f>
        <v>0</v>
      </c>
      <c r="AT76" s="280">
        <f>IF(AC76&gt;0,Standing!$C$85*0.66,0)</f>
        <v>0</v>
      </c>
      <c r="AU76" s="281">
        <f>IF(AC76&gt;0,Standing!$C$75*0.25,0)</f>
        <v>0</v>
      </c>
      <c r="AV76" s="282">
        <f>IF(AC76&gt;0,Standing!$C$75*0.12,0)</f>
        <v>0</v>
      </c>
      <c r="AW76" s="283">
        <f>IF(AC76&gt;0,Standing!$C$26*0.4,0)</f>
        <v>0</v>
      </c>
      <c r="AX76" s="284">
        <f>IF(AC76&gt;0,Standing!$C$26*0.4,0)</f>
        <v>0</v>
      </c>
      <c r="AY76" s="280">
        <f>IF(AC76&gt;0,Standing!$C$26*0.2,0)</f>
        <v>0</v>
      </c>
      <c r="AZ76" s="281">
        <f>IF(AC76&gt;0,Standing!$C$26*0.33,0)</f>
        <v>0</v>
      </c>
      <c r="BA76" s="282">
        <f>IF(AC76&gt;0,Standing!$C$26*0.2,0)</f>
        <v>0</v>
      </c>
      <c r="BB76" s="283">
        <f>IF(AC76&gt;0,Standing!$C$26*0.2,0)</f>
        <v>0</v>
      </c>
      <c r="BC76" s="284">
        <f>IF(AC76&gt;0,Standing!$C$32*0.33,0)</f>
        <v>0</v>
      </c>
      <c r="BD76" s="280">
        <f>IF(AC76&gt;0,Standing!$C$32*0.5,0)</f>
        <v>0</v>
      </c>
      <c r="BE76" s="281">
        <f>IF(AC76&gt;0,Standing!$C$32*0.33,0)</f>
        <v>0</v>
      </c>
      <c r="BF76" s="282">
        <f>IF(AC76&gt;0,Standing!$C$32*0.33,0)</f>
        <v>0</v>
      </c>
      <c r="BG76" s="283">
        <f>IF(AC76&gt;0,Standing!$C$32*0.33,0)</f>
        <v>0</v>
      </c>
      <c r="BH76" s="284">
        <f>IF(AC76&gt;0,Standing!$C$32*0.4,0)</f>
        <v>0</v>
      </c>
      <c r="BI76" s="280">
        <f>IF(AC76&gt;0,Standing!$C$26*0.5,0)</f>
        <v>0</v>
      </c>
      <c r="BJ76" s="281">
        <f>IF(AC76&gt;0,Standing!$C$26*0.5,0)</f>
        <v>0</v>
      </c>
      <c r="BK76" s="282">
        <f>IF(AC76&gt;0,Standing!$C$26*0.5,0)</f>
        <v>0</v>
      </c>
      <c r="BL76" s="283">
        <f>IF(AC76&gt;0,Standing!$C$32*0.66,0)</f>
        <v>0</v>
      </c>
      <c r="BM76" s="281">
        <f>IF(AC76&gt;0,Standing!$C$32*0.85,0)</f>
        <v>0</v>
      </c>
      <c r="BN76" s="284">
        <f t="shared" si="9"/>
        <v>0</v>
      </c>
      <c r="BO76" s="282">
        <f>IF(AC76&gt;0,Standing!$C$32*0.45,0)</f>
        <v>0</v>
      </c>
      <c r="BP76" s="280">
        <f>IF(AC76&gt;0,Standing!$C$32*0.45,0)</f>
        <v>0</v>
      </c>
      <c r="BQ76" s="281">
        <f>IF(AC76&gt;0,Standing!$C$32*0.66,0)</f>
        <v>0</v>
      </c>
      <c r="BR76" s="282">
        <f>IF(AC76&gt;0,Standing!$C$32*0.33,0)</f>
        <v>0</v>
      </c>
      <c r="BS76" s="283">
        <f>IF(AC76&gt;0,Standing!$C$32*0.33,0)</f>
        <v>0</v>
      </c>
      <c r="BT76" s="284">
        <f>IF(AC76&gt;0,Standing!$C$32*0.3,0)</f>
        <v>0</v>
      </c>
      <c r="BU76" s="280">
        <f>IF(AC76&gt;0,Standing!$C$36*0.9,0)</f>
        <v>0</v>
      </c>
      <c r="BV76" s="281">
        <f>IF(AC76&gt;0,Standing!$C$36*0.45,0)</f>
        <v>0</v>
      </c>
      <c r="BW76" s="282">
        <f>IF(AC76&gt;0,Standing!$C$126*0.66,0)</f>
        <v>0</v>
      </c>
      <c r="BX76" s="283">
        <f>IF(AC76&gt;0,Standing!$C$126*0.66,0)</f>
        <v>0</v>
      </c>
      <c r="BY76" s="284">
        <f>IF(AC76&gt;0,Standing!$C$126*0.5,0)</f>
        <v>0</v>
      </c>
      <c r="BZ76" s="280">
        <f>IF(AC76&gt;0,Standing!$C$126*0.375,0)</f>
        <v>0</v>
      </c>
      <c r="CA76" s="281">
        <f>IF(AC76&gt;0,Standing!$C$132,0)</f>
        <v>0</v>
      </c>
      <c r="CB76" s="282">
        <f>IF(AC76&gt;0,Standing!$C$132*0.75,0)</f>
        <v>0</v>
      </c>
      <c r="CC76" s="283">
        <f>IF(AC76&gt;0,Standing!$C$132*0.66,0)</f>
        <v>0</v>
      </c>
      <c r="CD76" s="284">
        <f>IF(AC76&gt;0,Standing!$C$132*0.66,0)</f>
        <v>0</v>
      </c>
      <c r="CE76" s="280">
        <f>IF(AC76&gt;0,Standing!$C$132*0.5,0)</f>
        <v>0</v>
      </c>
      <c r="CF76" s="281">
        <f>IF(AC76&gt;0,Standing!$C$132*0.66,0)</f>
        <v>0</v>
      </c>
      <c r="CG76" s="282">
        <f>IF(AC76&gt;0,Standing!$C$132*0.66,0)</f>
        <v>0</v>
      </c>
      <c r="CH76" s="283">
        <f>IF(AC76&gt;0,Standing!$C$132*0.4,0)</f>
        <v>0</v>
      </c>
      <c r="CI76" s="284">
        <f>IF(AC76&gt;0,Standing!$C$132*0.4,0)</f>
        <v>0</v>
      </c>
      <c r="CJ76" s="280">
        <f>IF(AC76&gt;0,Standing!$C$132*0.66,0)</f>
        <v>0</v>
      </c>
      <c r="CK76" s="281">
        <f>IF(AC76&gt;0,Standing!$C$126*0.55,0)</f>
        <v>0</v>
      </c>
      <c r="CL76" s="282">
        <f>IF(AC76&gt;0,Standing!$C$126,0)</f>
        <v>0</v>
      </c>
      <c r="CM76" s="283">
        <f>IF(AC76&gt;0,Standing!$C$126*0.9,0)</f>
        <v>0</v>
      </c>
      <c r="CN76" s="284">
        <f>IF(AC76&gt;0,Standing!$C$126*0.55,0)</f>
        <v>0</v>
      </c>
      <c r="CO76" s="280">
        <f>IF(AC76&gt;0,Standing!$C$126*0.4,0)</f>
        <v>0</v>
      </c>
      <c r="CP76" s="281">
        <f>IF(AC76&gt;0,Standing!$C$26*0.33,0)</f>
        <v>0</v>
      </c>
      <c r="CQ76" s="282">
        <f>IF(AC76&gt;0,Standing!$C$26*0.2,0)</f>
        <v>0</v>
      </c>
      <c r="CR76" s="283">
        <f>IF(AC76&gt;0,Standing!$C$26*0.25,0)</f>
        <v>0</v>
      </c>
      <c r="CS76" s="285">
        <f>IF(AC76&gt;0,Standing!$C$26*0.2,0)</f>
        <v>0</v>
      </c>
      <c r="CT76" s="286"/>
      <c r="CU76" s="158" t="s">
        <v>43</v>
      </c>
    </row>
    <row r="77" ht="15.75" customHeight="1">
      <c r="A77" s="51"/>
      <c r="B77" s="298" t="s">
        <v>532</v>
      </c>
      <c r="C77" s="189">
        <f>CR136</f>
        <v>1.473375984</v>
      </c>
      <c r="D77" s="218">
        <f t="shared" si="3"/>
        <v>0.4689890452</v>
      </c>
      <c r="E77" s="190">
        <f t="shared" si="4"/>
        <v>37.42375</v>
      </c>
      <c r="F77" s="122">
        <f t="shared" si="5"/>
        <v>11.91232175</v>
      </c>
      <c r="G77" s="123">
        <f>C77/Introduction!$I$20</f>
        <v>0.0153476665</v>
      </c>
      <c r="H77" s="192">
        <f t="shared" si="6"/>
        <v>0.004885302554</v>
      </c>
      <c r="I77" s="124">
        <f>E77/Introduction!$I$20</f>
        <v>0.3898307292</v>
      </c>
      <c r="J77" s="125">
        <f t="shared" si="7"/>
        <v>0.1240866849</v>
      </c>
      <c r="K77" s="51"/>
      <c r="L77" s="51"/>
      <c r="M77" s="51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286"/>
      <c r="AB77" s="158" t="s">
        <v>44</v>
      </c>
      <c r="AC77" s="287">
        <f>IF('Ship Data Imperial'!E78&gt;0,'Ship Data Imperial'!E78,AD77)</f>
        <v>0</v>
      </c>
      <c r="AD77" s="287">
        <f>'Ship Data Metric'!E78*0.03280839895</f>
        <v>0</v>
      </c>
      <c r="AE77" s="284">
        <f>IF(AC77&gt;0,Standing!$C$75*0.65,0)</f>
        <v>0</v>
      </c>
      <c r="AF77" s="280">
        <f>IF(AC77&gt;0,Standing!$C$75*0.33,0)</f>
        <v>0</v>
      </c>
      <c r="AG77" s="281">
        <f>IF(AC77&gt;0,Standing!$C$75*0.2,0)</f>
        <v>0</v>
      </c>
      <c r="AH77" s="282">
        <f>IF(AC77&gt;0,Standing!$C$75*0.5,0)</f>
        <v>0</v>
      </c>
      <c r="AI77" s="283">
        <f>IF(AC77&gt;0,Standing!$C$75*0.2,0)</f>
        <v>0</v>
      </c>
      <c r="AJ77" s="284">
        <f>IF(AC77&gt;0,Standing!$C$75*0.25,0)</f>
        <v>0</v>
      </c>
      <c r="AK77" s="281">
        <f>IF(AC77&gt;0,Standing!$C$81*0.8,0)</f>
        <v>0</v>
      </c>
      <c r="AL77" s="282">
        <f t="shared" si="8"/>
        <v>0</v>
      </c>
      <c r="AM77" s="283">
        <f>IF(AC77&gt;0,Standing!$C$81*0.45,0)</f>
        <v>0</v>
      </c>
      <c r="AN77" s="284">
        <f>IF(AC77&gt;0,Standing!$C$81*0.55,0)</f>
        <v>0</v>
      </c>
      <c r="AO77" s="280">
        <f>IF(AC77&gt;0,Standing!$C$81*0.36,0)</f>
        <v>0</v>
      </c>
      <c r="AP77" s="281">
        <f>IF(AC77&gt;0,Standing!$C$81*0.9,0)</f>
        <v>0</v>
      </c>
      <c r="AQ77" s="282">
        <f>IF(AC77&gt;0,Standing!$C$85*0.9,0)</f>
        <v>0</v>
      </c>
      <c r="AR77" s="283">
        <f>IF(AC77&gt;0,Standing!$C$85*0.5,0)</f>
        <v>0</v>
      </c>
      <c r="AS77" s="284">
        <f>IF(AC77&gt;0,Standing!$C$85*0.66,0)</f>
        <v>0</v>
      </c>
      <c r="AT77" s="280">
        <f>IF(AC77&gt;0,Standing!$C$85*0.66,0)</f>
        <v>0</v>
      </c>
      <c r="AU77" s="281">
        <f>IF(AC77&gt;0,Standing!$C$75*0.25,0)</f>
        <v>0</v>
      </c>
      <c r="AV77" s="282">
        <f>IF(AC77&gt;0,Standing!$C$75*0.12,0)</f>
        <v>0</v>
      </c>
      <c r="AW77" s="283">
        <f>IF(AC77&gt;0,Standing!$C$26*0.4,0)</f>
        <v>0</v>
      </c>
      <c r="AX77" s="284">
        <f>IF(AC77&gt;0,Standing!$C$26*0.4,0)</f>
        <v>0</v>
      </c>
      <c r="AY77" s="280">
        <f>IF(AC77&gt;0,Standing!$C$26*0.2,0)</f>
        <v>0</v>
      </c>
      <c r="AZ77" s="281">
        <f>IF(AC77&gt;0,Standing!$C$26*0.33,0)</f>
        <v>0</v>
      </c>
      <c r="BA77" s="282">
        <f>IF(AC77&gt;0,Standing!$C$26*0.2,0)</f>
        <v>0</v>
      </c>
      <c r="BB77" s="283">
        <f>IF(AC77&gt;0,Standing!$C$26*0.2,0)</f>
        <v>0</v>
      </c>
      <c r="BC77" s="284">
        <f>IF(AC77&gt;0,Standing!$C$32*0.33,0)</f>
        <v>0</v>
      </c>
      <c r="BD77" s="280">
        <f>IF(AC77&gt;0,Standing!$C$32*0.5,0)</f>
        <v>0</v>
      </c>
      <c r="BE77" s="281">
        <f>IF(AC77&gt;0,Standing!$C$32*0.33,0)</f>
        <v>0</v>
      </c>
      <c r="BF77" s="282">
        <f>IF(AC77&gt;0,Standing!$C$32*0.33,0)</f>
        <v>0</v>
      </c>
      <c r="BG77" s="283">
        <f>IF(AC77&gt;0,Standing!$C$32*0.33,0)</f>
        <v>0</v>
      </c>
      <c r="BH77" s="284">
        <f>IF(AC77&gt;0,Standing!$C$32*0.4,0)</f>
        <v>0</v>
      </c>
      <c r="BI77" s="280">
        <f>IF(AC77&gt;0,Standing!$C$26*0.75,0)</f>
        <v>0</v>
      </c>
      <c r="BJ77" s="281">
        <f>IF(AC77&gt;0,Standing!$C$26*0.5,0)</f>
        <v>0</v>
      </c>
      <c r="BK77" s="282">
        <f>IF(AC77&gt;0,Standing!$C$26*0.5,0)</f>
        <v>0</v>
      </c>
      <c r="BL77" s="283">
        <f>IF(AC77&gt;0,Standing!$C$32*0.66,0)</f>
        <v>0</v>
      </c>
      <c r="BM77" s="281">
        <f>IF(AC77&gt;0,Standing!$C$32*0.85,0)</f>
        <v>0</v>
      </c>
      <c r="BN77" s="284">
        <f t="shared" si="9"/>
        <v>0</v>
      </c>
      <c r="BO77" s="282">
        <f>IF(AC77&gt;0,Standing!$C$32*0.45,0)</f>
        <v>0</v>
      </c>
      <c r="BP77" s="280">
        <f>IF(AC77&gt;0,Standing!$C$32*0.45,0)</f>
        <v>0</v>
      </c>
      <c r="BQ77" s="281">
        <f>IF(AC77&gt;0,Standing!$C$32*0.66,0)</f>
        <v>0</v>
      </c>
      <c r="BR77" s="282">
        <f>IF(AC77&gt;0,Standing!$C$32*0.33,0)</f>
        <v>0</v>
      </c>
      <c r="BS77" s="283">
        <f>IF(AC77&gt;0,Standing!$C$32*0.33,0)</f>
        <v>0</v>
      </c>
      <c r="BT77" s="284">
        <f>IF(AC77&gt;0,Standing!$C$32*0.3,0)</f>
        <v>0</v>
      </c>
      <c r="BU77" s="280">
        <f>IF(AC77&gt;0,Standing!$C$36*0.9,0)</f>
        <v>0</v>
      </c>
      <c r="BV77" s="281">
        <f>IF(AC77&gt;0,Standing!$C$36*0.45,0)</f>
        <v>0</v>
      </c>
      <c r="BW77" s="282">
        <f>IF(AC77&gt;0,Standing!$C$126*0.66,0)</f>
        <v>0</v>
      </c>
      <c r="BX77" s="283">
        <f>IF(AC77&gt;0,Standing!$C$126*0.66,0)</f>
        <v>0</v>
      </c>
      <c r="BY77" s="284">
        <f>IF(AC77&gt;0,Standing!$C$126*0.5,0)</f>
        <v>0</v>
      </c>
      <c r="BZ77" s="280">
        <f>IF(AC77&gt;0,Standing!$C$126*0.375,0)</f>
        <v>0</v>
      </c>
      <c r="CA77" s="281">
        <f>IF(AC77&gt;0,Standing!$C$132,0)</f>
        <v>0</v>
      </c>
      <c r="CB77" s="282">
        <f>IF(AC77&gt;0,Standing!$C$132*0.75,0)</f>
        <v>0</v>
      </c>
      <c r="CC77" s="283">
        <f>IF(AC77&gt;0,Standing!$C$132*0.66,0)</f>
        <v>0</v>
      </c>
      <c r="CD77" s="284">
        <f>IF(AC77&gt;0,Standing!$C$132*0.66,0)</f>
        <v>0</v>
      </c>
      <c r="CE77" s="280">
        <f>IF(AC77&gt;0,Standing!$C$132*0.5,0)</f>
        <v>0</v>
      </c>
      <c r="CF77" s="281">
        <f>IF(AC77&gt;0,Standing!$C$132*0.66,0)</f>
        <v>0</v>
      </c>
      <c r="CG77" s="282">
        <f>IF(AC77&gt;0,Standing!$C$132*0.66,0)</f>
        <v>0</v>
      </c>
      <c r="CH77" s="283">
        <f>IF(AC77&gt;0,Standing!$C$132*0.4,0)</f>
        <v>0</v>
      </c>
      <c r="CI77" s="284">
        <f>IF(AC77&gt;0,Standing!$C$132*0.4,0)</f>
        <v>0</v>
      </c>
      <c r="CJ77" s="280">
        <f>IF(AC77&gt;0,Standing!$C$132*0.66,0)</f>
        <v>0</v>
      </c>
      <c r="CK77" s="281">
        <f>IF(AC77&gt;0,Standing!$C$126*0.55,0)</f>
        <v>0</v>
      </c>
      <c r="CL77" s="282">
        <f>IF(AC77&gt;0,Standing!$C$126,0)</f>
        <v>0</v>
      </c>
      <c r="CM77" s="283">
        <f>IF(AC77&gt;0,Standing!$C$126*0.9,0)</f>
        <v>0</v>
      </c>
      <c r="CN77" s="284">
        <f>IF(AC77&gt;0,Standing!$C$126*0.55,0)</f>
        <v>0</v>
      </c>
      <c r="CO77" s="280">
        <f>IF(AC77&gt;0,Standing!$C$126*0.4,0)</f>
        <v>0</v>
      </c>
      <c r="CP77" s="281">
        <f>IF(AC77&gt;0,Standing!$C$26*0.33,0)</f>
        <v>0</v>
      </c>
      <c r="CQ77" s="282">
        <f>IF(AC77&gt;0,Standing!$C$26*0.2,0)</f>
        <v>0</v>
      </c>
      <c r="CR77" s="283">
        <f>IF(AC77&gt;0,Standing!$C$26*0.25,0)</f>
        <v>0</v>
      </c>
      <c r="CS77" s="285">
        <f>IF(AC77&gt;0,Standing!$C$26*0.2,0)</f>
        <v>0</v>
      </c>
      <c r="CT77" s="286"/>
      <c r="CU77" s="158" t="s">
        <v>44</v>
      </c>
    </row>
    <row r="78" ht="15.75" customHeight="1">
      <c r="A78" s="51"/>
      <c r="B78" s="299" t="s">
        <v>533</v>
      </c>
      <c r="C78" s="189">
        <f>CS136</f>
        <v>1.178700787</v>
      </c>
      <c r="D78" s="218">
        <f t="shared" si="3"/>
        <v>0.3751912361</v>
      </c>
      <c r="E78" s="190">
        <f t="shared" si="4"/>
        <v>29.939</v>
      </c>
      <c r="F78" s="122">
        <f t="shared" si="5"/>
        <v>9.529857397</v>
      </c>
      <c r="G78" s="123">
        <f>C78/Introduction!$I$20</f>
        <v>0.0122781332</v>
      </c>
      <c r="H78" s="192">
        <f t="shared" si="6"/>
        <v>0.003908242043</v>
      </c>
      <c r="I78" s="124">
        <f>E78/Introduction!$I$20</f>
        <v>0.3118645833</v>
      </c>
      <c r="J78" s="125">
        <f t="shared" si="7"/>
        <v>0.09926934789</v>
      </c>
      <c r="K78" s="51"/>
      <c r="L78" s="51"/>
      <c r="M78" s="51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286"/>
      <c r="AB78" s="158" t="s">
        <v>45</v>
      </c>
      <c r="AC78" s="287">
        <f>IF('Ship Data Imperial'!E79&gt;0,'Ship Data Imperial'!E79,AD78)</f>
        <v>0</v>
      </c>
      <c r="AD78" s="287">
        <f>'Ship Data Metric'!E79*0.03280839895</f>
        <v>0</v>
      </c>
      <c r="AE78" s="284">
        <f>IF(AC78&gt;0,Standing!$C$75*0.65,0)</f>
        <v>0</v>
      </c>
      <c r="AF78" s="280">
        <f>IF(AC78&gt;0,Standing!$C$75*0.33,0)</f>
        <v>0</v>
      </c>
      <c r="AG78" s="281">
        <f>IF(AC78&gt;0,Standing!$C$75*0.2,0)</f>
        <v>0</v>
      </c>
      <c r="AH78" s="282">
        <f>IF(AC78&gt;0,Standing!$C$75*0.5,0)</f>
        <v>0</v>
      </c>
      <c r="AI78" s="283">
        <f>IF(AC78&gt;0,Standing!$C$75*0.2,0)</f>
        <v>0</v>
      </c>
      <c r="AJ78" s="284">
        <f>IF(AC78&gt;0,Standing!$C$75*0.25,0)</f>
        <v>0</v>
      </c>
      <c r="AK78" s="281">
        <f>IF(AC78&gt;0,Standing!$C$81*0.8,0)</f>
        <v>0</v>
      </c>
      <c r="AL78" s="282">
        <f t="shared" si="8"/>
        <v>0</v>
      </c>
      <c r="AM78" s="283">
        <f>IF(AC78&gt;0,Standing!$C$81*0.45,0)</f>
        <v>0</v>
      </c>
      <c r="AN78" s="284">
        <f>IF(AC78&gt;0,Standing!$C$81*0.55,0)</f>
        <v>0</v>
      </c>
      <c r="AO78" s="280">
        <f>IF(AC78&gt;0,Standing!$C$81*0.36,0)</f>
        <v>0</v>
      </c>
      <c r="AP78" s="281">
        <f>IF(AC78&gt;0,Standing!$C$81*0.9,0)</f>
        <v>0</v>
      </c>
      <c r="AQ78" s="282">
        <f>IF(AC78&gt;0,Standing!$C$85*0.9,0)</f>
        <v>0</v>
      </c>
      <c r="AR78" s="283">
        <f>IF(AC78&gt;0,Standing!$C$85*0.5,0)</f>
        <v>0</v>
      </c>
      <c r="AS78" s="284">
        <f>IF(AC78&gt;0,Standing!$C$85*0.66,0)</f>
        <v>0</v>
      </c>
      <c r="AT78" s="280">
        <f>IF(AC78&gt;0,Standing!$C$85*0.66,0)</f>
        <v>0</v>
      </c>
      <c r="AU78" s="281">
        <f>IF(AC78&gt;0,Standing!$C$75*0.25,0)</f>
        <v>0</v>
      </c>
      <c r="AV78" s="282">
        <f>IF(AC78&gt;0,Standing!$C$75*0.12,0)</f>
        <v>0</v>
      </c>
      <c r="AW78" s="283">
        <f>IF(AC78&gt;0,Standing!$C$26*0.4,0)</f>
        <v>0</v>
      </c>
      <c r="AX78" s="284">
        <f>IF(AC78&gt;0,Standing!$C$26*0.4,0)</f>
        <v>0</v>
      </c>
      <c r="AY78" s="280">
        <f>IF(AC78&gt;0,Standing!$C$26*0.2,0)</f>
        <v>0</v>
      </c>
      <c r="AZ78" s="281">
        <f>IF(AC78&gt;0,Standing!$C$26*0.33,0)</f>
        <v>0</v>
      </c>
      <c r="BA78" s="282">
        <f>IF(AC78&gt;0,Standing!$C$26*0.2,0)</f>
        <v>0</v>
      </c>
      <c r="BB78" s="283">
        <f>IF(AC78&gt;0,Standing!$C$26*0.2,0)</f>
        <v>0</v>
      </c>
      <c r="BC78" s="284">
        <f>IF(AC78&gt;0,Standing!$C$32*0.33,0)</f>
        <v>0</v>
      </c>
      <c r="BD78" s="280">
        <f>IF(AC78&gt;0,Standing!$C$32*0.5,0)</f>
        <v>0</v>
      </c>
      <c r="BE78" s="281">
        <f>IF(AC78&gt;0,Standing!$C$32*0.33,0)</f>
        <v>0</v>
      </c>
      <c r="BF78" s="282">
        <f>IF(AC78&gt;0,Standing!$C$32*0.33,0)</f>
        <v>0</v>
      </c>
      <c r="BG78" s="283">
        <f>IF(AC78&gt;0,Standing!$C$32*0.33,0)</f>
        <v>0</v>
      </c>
      <c r="BH78" s="284">
        <f>IF(AC78&gt;0,Standing!$C$32*0.4,0)</f>
        <v>0</v>
      </c>
      <c r="BI78" s="280">
        <f>IF(AC78&gt;0,Standing!$C$26*0.75,0)</f>
        <v>0</v>
      </c>
      <c r="BJ78" s="281">
        <f>IF(AC78&gt;0,Standing!$C$26*0.5,0)</f>
        <v>0</v>
      </c>
      <c r="BK78" s="282">
        <f>IF(AC78&gt;0,Standing!$C$26*0.5,0)</f>
        <v>0</v>
      </c>
      <c r="BL78" s="283">
        <f>IF(AC78&gt;0,Standing!$C$32*0.66,0)</f>
        <v>0</v>
      </c>
      <c r="BM78" s="281">
        <f>IF(AC78&gt;0,Standing!$C$32*0.85,0)</f>
        <v>0</v>
      </c>
      <c r="BN78" s="284">
        <f t="shared" si="9"/>
        <v>0</v>
      </c>
      <c r="BO78" s="282">
        <f>IF(AC78&gt;0,Standing!$C$32*0.45,0)</f>
        <v>0</v>
      </c>
      <c r="BP78" s="280">
        <f>IF(AC78&gt;0,Standing!$C$32*0.45,0)</f>
        <v>0</v>
      </c>
      <c r="BQ78" s="281">
        <f>IF(AC78&gt;0,Standing!$C$32*0.66,0)</f>
        <v>0</v>
      </c>
      <c r="BR78" s="282">
        <f>IF(AC78&gt;0,Standing!$C$32*0.33,0)</f>
        <v>0</v>
      </c>
      <c r="BS78" s="283">
        <f>IF(AC78&gt;0,Standing!$C$32*0.33,0)</f>
        <v>0</v>
      </c>
      <c r="BT78" s="284">
        <f>IF(AC78&gt;0,Standing!$C$32*0.3,0)</f>
        <v>0</v>
      </c>
      <c r="BU78" s="280">
        <f>IF(AC78&gt;0,Standing!$C$36*0.9,0)</f>
        <v>0</v>
      </c>
      <c r="BV78" s="281">
        <f>IF(AC78&gt;0,Standing!$C$36*0.45,0)</f>
        <v>0</v>
      </c>
      <c r="BW78" s="282">
        <f>IF(AC78&gt;0,Standing!$C$126*0.66,0)</f>
        <v>0</v>
      </c>
      <c r="BX78" s="283">
        <f>IF(AC78&gt;0,Standing!$C$126*0.66,0)</f>
        <v>0</v>
      </c>
      <c r="BY78" s="284">
        <f>IF(AC78&gt;0,Standing!$C$126*0.5,0)</f>
        <v>0</v>
      </c>
      <c r="BZ78" s="280">
        <f>IF(AC78&gt;0,Standing!$C$126*0.375,0)</f>
        <v>0</v>
      </c>
      <c r="CA78" s="281">
        <f>IF(AC78&gt;0,Standing!$C$132,0)</f>
        <v>0</v>
      </c>
      <c r="CB78" s="282">
        <f>IF(AC78&gt;0,Standing!$C$132*0.75,0)</f>
        <v>0</v>
      </c>
      <c r="CC78" s="283">
        <f>IF(AC78&gt;0,Standing!$C$132*0.66,0)</f>
        <v>0</v>
      </c>
      <c r="CD78" s="284">
        <f>IF(AC78&gt;0,Standing!$C$132*0.66,0)</f>
        <v>0</v>
      </c>
      <c r="CE78" s="280">
        <f>IF(AC78&gt;0,Standing!$C$132*0.5,0)</f>
        <v>0</v>
      </c>
      <c r="CF78" s="281">
        <f>IF(AC78&gt;0,Standing!$C$132*0.66,0)</f>
        <v>0</v>
      </c>
      <c r="CG78" s="282">
        <f>IF(AC78&gt;0,Standing!$C$132*0.66,0)</f>
        <v>0</v>
      </c>
      <c r="CH78" s="283">
        <f>IF(AC78&gt;0,Standing!$C$132*0.4,0)</f>
        <v>0</v>
      </c>
      <c r="CI78" s="284">
        <f>IF(AC78&gt;0,Standing!$C$132*0.4,0)</f>
        <v>0</v>
      </c>
      <c r="CJ78" s="280">
        <f>IF(AC78&gt;0,Standing!$C$132*0.66,0)</f>
        <v>0</v>
      </c>
      <c r="CK78" s="281">
        <f>IF(AC78&gt;0,Standing!$C$126*0.55,0)</f>
        <v>0</v>
      </c>
      <c r="CL78" s="282">
        <f>IF(AC78&gt;0,Standing!$C$126,0)</f>
        <v>0</v>
      </c>
      <c r="CM78" s="283">
        <f>IF(AC78&gt;0,Standing!$C$126*0.9,0)</f>
        <v>0</v>
      </c>
      <c r="CN78" s="284">
        <f>IF(AC78&gt;0,Standing!$C$126*0.55,0)</f>
        <v>0</v>
      </c>
      <c r="CO78" s="280">
        <f>IF(AC78&gt;0,Standing!$C$126*0.4,0)</f>
        <v>0</v>
      </c>
      <c r="CP78" s="281">
        <f>IF(AC78&gt;0,Standing!$C$26*0.33,0)</f>
        <v>0</v>
      </c>
      <c r="CQ78" s="282">
        <f>IF(AC78&gt;0,Standing!$C$26*0.2,0)</f>
        <v>0</v>
      </c>
      <c r="CR78" s="283">
        <f>IF(AC78&gt;0,Standing!$C$26*0.25,0)</f>
        <v>0</v>
      </c>
      <c r="CS78" s="285">
        <f>IF(AC78&gt;0,Standing!$C$26*0.2,0)</f>
        <v>0</v>
      </c>
      <c r="CT78" s="286"/>
      <c r="CU78" s="158" t="s">
        <v>45</v>
      </c>
    </row>
    <row r="79" ht="15.75" customHeight="1">
      <c r="A79" s="51"/>
      <c r="B79" s="299" t="s">
        <v>534</v>
      </c>
      <c r="C79" s="189">
        <f>Standing!$C$26*0.21</f>
        <v>1.237635827</v>
      </c>
      <c r="D79" s="218">
        <f t="shared" si="3"/>
        <v>0.3939507979</v>
      </c>
      <c r="E79" s="190">
        <f t="shared" si="4"/>
        <v>31.43595</v>
      </c>
      <c r="F79" s="122">
        <f t="shared" si="5"/>
        <v>10.00635027</v>
      </c>
      <c r="G79" s="123">
        <f>C79/Introduction!$I$20</f>
        <v>0.01289203986</v>
      </c>
      <c r="H79" s="192">
        <f t="shared" si="6"/>
        <v>0.004103654145</v>
      </c>
      <c r="I79" s="124">
        <f>E79/Introduction!$I$20</f>
        <v>0.3274578125</v>
      </c>
      <c r="J79" s="125">
        <f t="shared" si="7"/>
        <v>0.1042328153</v>
      </c>
      <c r="K79" s="51"/>
      <c r="L79" s="51"/>
      <c r="M79" s="51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286"/>
      <c r="AB79" s="158" t="s">
        <v>46</v>
      </c>
      <c r="AC79" s="287">
        <f>IF('Ship Data Imperial'!E80&gt;0,'Ship Data Imperial'!E80,AD79)</f>
        <v>0</v>
      </c>
      <c r="AD79" s="287">
        <f>'Ship Data Metric'!E80*0.03280839895</f>
        <v>0</v>
      </c>
      <c r="AE79" s="284">
        <f>IF(AC79&gt;0,Standing!$C$75*0.65,0)</f>
        <v>0</v>
      </c>
      <c r="AF79" s="280">
        <f>IF(AC79&gt;0,Standing!$C$75*0.33,0)</f>
        <v>0</v>
      </c>
      <c r="AG79" s="281">
        <f>IF(AC79&gt;0,Standing!$C$75*0.2,0)</f>
        <v>0</v>
      </c>
      <c r="AH79" s="282">
        <f>IF(AC79&gt;0,Standing!$C$75*0.5,0)</f>
        <v>0</v>
      </c>
      <c r="AI79" s="283">
        <f>IF(AC79&gt;0,Standing!$C$75*0.2,0)</f>
        <v>0</v>
      </c>
      <c r="AJ79" s="284">
        <f>IF(AC79&gt;0,Standing!$C$75*0.25,0)</f>
        <v>0</v>
      </c>
      <c r="AK79" s="281">
        <f>IF(AC79&gt;0,Standing!$C$81*0.8,0)</f>
        <v>0</v>
      </c>
      <c r="AL79" s="282">
        <f t="shared" si="8"/>
        <v>0</v>
      </c>
      <c r="AM79" s="283">
        <f>IF(AC79&gt;0,Standing!$C$81*0.45,0)</f>
        <v>0</v>
      </c>
      <c r="AN79" s="284">
        <f>IF(AC79&gt;0,Standing!$C$81*0.55,0)</f>
        <v>0</v>
      </c>
      <c r="AO79" s="280">
        <f>IF(AC79&gt;0,Standing!$C$81*0.36,0)</f>
        <v>0</v>
      </c>
      <c r="AP79" s="281">
        <f>IF(AC79&gt;0,Standing!$C$81*0.9,0)</f>
        <v>0</v>
      </c>
      <c r="AQ79" s="282">
        <f>IF(AC79&gt;0,Standing!$C$85*0.9,0)</f>
        <v>0</v>
      </c>
      <c r="AR79" s="283">
        <f>IF(AC79&gt;0,Standing!$C$85*0.5,0)</f>
        <v>0</v>
      </c>
      <c r="AS79" s="284">
        <f>IF(AC79&gt;0,Standing!$C$85*0.66,0)</f>
        <v>0</v>
      </c>
      <c r="AT79" s="280">
        <f>IF(AC79&gt;0,Standing!$C$85*0.66,0)</f>
        <v>0</v>
      </c>
      <c r="AU79" s="281">
        <f>IF(AC79&gt;0,Standing!$C$75*0.25,0)</f>
        <v>0</v>
      </c>
      <c r="AV79" s="282">
        <f>IF(AC79&gt;0,Standing!$C$75*0.12,0)</f>
        <v>0</v>
      </c>
      <c r="AW79" s="283">
        <f>IF(AC79&gt;0,Standing!$C$26*0.4,0)</f>
        <v>0</v>
      </c>
      <c r="AX79" s="284">
        <f>IF(AC79&gt;0,Standing!$C$26*0.4,0)</f>
        <v>0</v>
      </c>
      <c r="AY79" s="280">
        <f>IF(AC79&gt;0,Standing!$C$26*0.2,0)</f>
        <v>0</v>
      </c>
      <c r="AZ79" s="281">
        <f>IF(AC79&gt;0,Standing!$C$26*0.33,0)</f>
        <v>0</v>
      </c>
      <c r="BA79" s="282">
        <f>IF(AC79&gt;0,Standing!$C$26*0.2,0)</f>
        <v>0</v>
      </c>
      <c r="BB79" s="283">
        <f>IF(AC79&gt;0,Standing!$C$26*0.2,0)</f>
        <v>0</v>
      </c>
      <c r="BC79" s="284">
        <f>IF(AC79&gt;0,Standing!$C$32*0.33,0)</f>
        <v>0</v>
      </c>
      <c r="BD79" s="280">
        <f>IF(AC79&gt;0,Standing!$C$32*0.5,0)</f>
        <v>0</v>
      </c>
      <c r="BE79" s="281">
        <f>IF(AC79&gt;0,Standing!$C$32*0.33,0)</f>
        <v>0</v>
      </c>
      <c r="BF79" s="282">
        <f>IF(AC79&gt;0,Standing!$C$32*0.33,0)</f>
        <v>0</v>
      </c>
      <c r="BG79" s="283">
        <f>IF(AC79&gt;0,Standing!$C$32*0.33,0)</f>
        <v>0</v>
      </c>
      <c r="BH79" s="284">
        <f>IF(AC79&gt;0,Standing!$C$32*0.4,0)</f>
        <v>0</v>
      </c>
      <c r="BI79" s="280">
        <f>IF(AC79&gt;0,Standing!$C$26*0.75,0)</f>
        <v>0</v>
      </c>
      <c r="BJ79" s="281">
        <f>IF(AC79&gt;0,Standing!$C$26*0.5,0)</f>
        <v>0</v>
      </c>
      <c r="BK79" s="282">
        <f>IF(AC79&gt;0,Standing!$C$26*0.5,0)</f>
        <v>0</v>
      </c>
      <c r="BL79" s="283">
        <f>IF(AC79&gt;0,Standing!$C$32*0.66,0)</f>
        <v>0</v>
      </c>
      <c r="BM79" s="281">
        <f>IF(AC79&gt;0,Standing!$C$32*0.85,0)</f>
        <v>0</v>
      </c>
      <c r="BN79" s="284">
        <f t="shared" si="9"/>
        <v>0</v>
      </c>
      <c r="BO79" s="282">
        <f>IF(AC79&gt;0,Standing!$C$32*0.45,0)</f>
        <v>0</v>
      </c>
      <c r="BP79" s="280">
        <f>IF(AC79&gt;0,Standing!$C$32*0.45,0)</f>
        <v>0</v>
      </c>
      <c r="BQ79" s="281">
        <f>IF(AC79&gt;0,Standing!$C$32*0.66,0)</f>
        <v>0</v>
      </c>
      <c r="BR79" s="282">
        <f>IF(AC79&gt;0,Standing!$C$32*0.33,0)</f>
        <v>0</v>
      </c>
      <c r="BS79" s="283">
        <f>IF(AC79&gt;0,Standing!$C$32*0.375,0)</f>
        <v>0</v>
      </c>
      <c r="BT79" s="284">
        <f>IF(AC79&gt;0,Standing!$C$32*0.3,0)</f>
        <v>0</v>
      </c>
      <c r="BU79" s="280">
        <f>IF(AC79&gt;0,Standing!$C$36*0.9,0)</f>
        <v>0</v>
      </c>
      <c r="BV79" s="281">
        <f>IF(AC79&gt;0,Standing!$C$36*0.45,0)</f>
        <v>0</v>
      </c>
      <c r="BW79" s="282">
        <f>IF(AC79&gt;0,Standing!$C$126*0.66,0)</f>
        <v>0</v>
      </c>
      <c r="BX79" s="283">
        <f>IF(AC79&gt;0,Standing!$C$126*0.66,0)</f>
        <v>0</v>
      </c>
      <c r="BY79" s="284">
        <f>IF(AC79&gt;0,Standing!$C$126*0.5,0)</f>
        <v>0</v>
      </c>
      <c r="BZ79" s="280">
        <f>IF(AC79&gt;0,Standing!$C$126*0.375,0)</f>
        <v>0</v>
      </c>
      <c r="CA79" s="281">
        <f>IF(AC79&gt;0,Standing!$C$132,0)</f>
        <v>0</v>
      </c>
      <c r="CB79" s="282">
        <f>IF(AC79&gt;0,Standing!$C$132*0.75,0)</f>
        <v>0</v>
      </c>
      <c r="CC79" s="283">
        <f>IF(AC79&gt;0,Standing!$C$132*0.66,0)</f>
        <v>0</v>
      </c>
      <c r="CD79" s="284">
        <f>IF(AC79&gt;0,Standing!$C$132*0.66,0)</f>
        <v>0</v>
      </c>
      <c r="CE79" s="280">
        <f>IF(AC79&gt;0,Standing!$C$132*0.5,0)</f>
        <v>0</v>
      </c>
      <c r="CF79" s="281">
        <f>IF(AC79&gt;0,Standing!$C$132*0.66,0)</f>
        <v>0</v>
      </c>
      <c r="CG79" s="282">
        <f>IF(AC79&gt;0,Standing!$C$132*0.66,0)</f>
        <v>0</v>
      </c>
      <c r="CH79" s="283">
        <f>IF(AC79&gt;0,Standing!$C$132*0.4,0)</f>
        <v>0</v>
      </c>
      <c r="CI79" s="284">
        <f>IF(AC79&gt;0,Standing!$C$132*0.4,0)</f>
        <v>0</v>
      </c>
      <c r="CJ79" s="280">
        <f>IF(AC79&gt;0,Standing!$C$132*0.66,0)</f>
        <v>0</v>
      </c>
      <c r="CK79" s="281">
        <f>IF(AC79&gt;0,Standing!$C$126*0.55,0)</f>
        <v>0</v>
      </c>
      <c r="CL79" s="282">
        <f>IF(AC79&gt;0,Standing!$C$126,0)</f>
        <v>0</v>
      </c>
      <c r="CM79" s="283">
        <f>IF(AC79&gt;0,Standing!$C$126*0.9,0)</f>
        <v>0</v>
      </c>
      <c r="CN79" s="284">
        <f>IF(AC79&gt;0,Standing!$C$126*0.55,0)</f>
        <v>0</v>
      </c>
      <c r="CO79" s="280">
        <f>IF(AC79&gt;0,Standing!$C$126*0.4,0)</f>
        <v>0</v>
      </c>
      <c r="CP79" s="281">
        <f>IF(AC79&gt;0,Standing!$C$26*0.33,0)</f>
        <v>0</v>
      </c>
      <c r="CQ79" s="282">
        <f>IF(AC79&gt;0,Standing!$C$26*0.2,0)</f>
        <v>0</v>
      </c>
      <c r="CR79" s="283">
        <f>IF(AC79&gt;0,Standing!$C$26*0.25,0)</f>
        <v>0</v>
      </c>
      <c r="CS79" s="285">
        <f>IF(AC79&gt;0,Standing!$C$26*0.2,0)</f>
        <v>0</v>
      </c>
      <c r="CT79" s="286"/>
      <c r="CU79" s="158" t="s">
        <v>46</v>
      </c>
    </row>
    <row r="80" ht="15.75" customHeight="1">
      <c r="A80" s="51"/>
      <c r="B80" s="297" t="s">
        <v>535</v>
      </c>
      <c r="C80" s="189">
        <f>BL136</f>
        <v>1.944856299</v>
      </c>
      <c r="D80" s="218">
        <f t="shared" si="3"/>
        <v>0.6190655396</v>
      </c>
      <c r="E80" s="190">
        <f t="shared" si="4"/>
        <v>49.39935</v>
      </c>
      <c r="F80" s="122">
        <f t="shared" si="5"/>
        <v>15.72426471</v>
      </c>
      <c r="G80" s="123">
        <f>C80/Introduction!$I$20</f>
        <v>0.02025891978</v>
      </c>
      <c r="H80" s="192">
        <f t="shared" si="6"/>
        <v>0.006448599371</v>
      </c>
      <c r="I80" s="124">
        <f>E80/Introduction!$I$20</f>
        <v>0.5145765625</v>
      </c>
      <c r="J80" s="125">
        <f t="shared" si="7"/>
        <v>0.163794424</v>
      </c>
      <c r="K80" s="51"/>
      <c r="L80" s="51"/>
      <c r="M80" s="51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286" t="s">
        <v>48</v>
      </c>
      <c r="AB80" s="286" t="s">
        <v>24</v>
      </c>
      <c r="AC80" s="287">
        <f>IF('Ship Data Imperial'!E81&gt;0,'Ship Data Imperial'!E81,AD80)</f>
        <v>0</v>
      </c>
      <c r="AD80" s="287">
        <f>'Ship Data Metric'!E81*0.03280839895</f>
        <v>0</v>
      </c>
      <c r="AE80" s="284">
        <f>IF(AC80&gt;0,Standing!$C$75*0.45,0)</f>
        <v>0</v>
      </c>
      <c r="AF80" s="280">
        <f>IF(AC80&gt;0,Standing!$C$75*0.25,0)</f>
        <v>0</v>
      </c>
      <c r="AG80" s="281">
        <f>IF(AC80&gt;0,Standing!$C$75*0.165,0)</f>
        <v>0</v>
      </c>
      <c r="AH80" s="282">
        <f>IF(AC80&gt;0,Standing!$C$75*0.5,0)</f>
        <v>0</v>
      </c>
      <c r="AI80" s="283">
        <f>IF(AC80&gt;0,Standing!$C$75*0.16,0)</f>
        <v>0</v>
      </c>
      <c r="AJ80" s="284">
        <f>IF(AC80&gt;0,Standing!$C$75*0.2,0)</f>
        <v>0</v>
      </c>
      <c r="AK80" s="281">
        <f>IF(AC80&gt;0,Standing!$C$81*0.66,0)</f>
        <v>0</v>
      </c>
      <c r="AL80" s="282">
        <f t="shared" si="8"/>
        <v>0</v>
      </c>
      <c r="AM80" s="283">
        <f>IF(AC80&gt;0,Standing!$C$81*0.45,0)</f>
        <v>0</v>
      </c>
      <c r="AN80" s="284">
        <f>IF(AC80&gt;0,Standing!$C$81*0.55,0)</f>
        <v>0</v>
      </c>
      <c r="AO80" s="280">
        <f>IF(AC80&gt;0,Standing!$C$81*0.36,0)</f>
        <v>0</v>
      </c>
      <c r="AP80" s="281">
        <f>IF(AC80&gt;0,Standing!$C$81,0)</f>
        <v>0</v>
      </c>
      <c r="AQ80" s="282">
        <f>IF(AC80&gt;0,Standing!$C$85*0.9,0)</f>
        <v>0</v>
      </c>
      <c r="AR80" s="283">
        <f>IF(AC80&gt;0,Standing!$C$85*0.5,0)</f>
        <v>0</v>
      </c>
      <c r="AS80" s="284">
        <f>IF(AC80&gt;0,Standing!$C$85*0.55,0)</f>
        <v>0</v>
      </c>
      <c r="AT80" s="280">
        <f>IF(AC80&gt;0,Standing!$C$85*0.66,0)</f>
        <v>0</v>
      </c>
      <c r="AU80" s="281">
        <f>IF(AC80&gt;0,Standing!$C$75*0.2,0)</f>
        <v>0</v>
      </c>
      <c r="AV80" s="282">
        <f>IF(AC80&gt;0,Standing!$C$75*0.2,0)</f>
        <v>0</v>
      </c>
      <c r="AW80" s="283">
        <f>IF(AC80&gt;0,Standing!$C$26*0.33,0)</f>
        <v>0</v>
      </c>
      <c r="AX80" s="284">
        <f>IF(AC80&gt;0,Standing!$C$26*0.2,0)</f>
        <v>0</v>
      </c>
      <c r="AY80" s="280">
        <f>IF(AC80&gt;0,Standing!$C$26*0.25,0)</f>
        <v>0</v>
      </c>
      <c r="AZ80" s="281">
        <f>IF(AC80&gt;0,Standing!$C$26*0.33,0)</f>
        <v>0</v>
      </c>
      <c r="BA80" s="282">
        <f>IF(AC80&gt;0,Standing!$C$26*0.15,0)</f>
        <v>0</v>
      </c>
      <c r="BB80" s="283">
        <f>IF(AC80&gt;0,Standing!$C$26*0.125,0)</f>
        <v>0</v>
      </c>
      <c r="BC80" s="284">
        <f>IF(AC80&gt;0,Standing!$C$32*0.33,0)</f>
        <v>0</v>
      </c>
      <c r="BD80" s="280">
        <f>IF(AC80&gt;0,Standing!$C$32*0.5,0)</f>
        <v>0</v>
      </c>
      <c r="BE80" s="281">
        <f>IF(AC80&gt;0,Standing!$C$32*0.33,0)</f>
        <v>0</v>
      </c>
      <c r="BF80" s="282">
        <f>IF(AC80&gt;0,Standing!$C$32*0.33,0)</f>
        <v>0</v>
      </c>
      <c r="BG80" s="283">
        <f>IF(AC80&gt;0,Standing!$C$32*0.25,0)</f>
        <v>0</v>
      </c>
      <c r="BH80" s="284">
        <f>IF(AC80&gt;0,Standing!$C$32*0.33,0)</f>
        <v>0</v>
      </c>
      <c r="BI80" s="280">
        <f>IF(AC80&gt;0,Standing!$C$26*0.5,0)</f>
        <v>0</v>
      </c>
      <c r="BJ80" s="281">
        <f>IF(AC80&gt;0,Standing!$C$26*0.45,0)</f>
        <v>0</v>
      </c>
      <c r="BK80" s="282">
        <f>IF(AC80&gt;0,Standing!$C$26*0.5,0)</f>
        <v>0</v>
      </c>
      <c r="BL80" s="283">
        <f>IF(AC80&gt;0,Standing!$C$32*0.66,0)</f>
        <v>0</v>
      </c>
      <c r="BM80" s="281">
        <f>IF(AC80&gt;0,Standing!$C$32*0.9,0)</f>
        <v>0</v>
      </c>
      <c r="BN80" s="284">
        <f t="shared" si="9"/>
        <v>0</v>
      </c>
      <c r="BO80" s="282">
        <f>IF(AC80&gt;0,Standing!$C$32*0.5,0)</f>
        <v>0</v>
      </c>
      <c r="BP80" s="280">
        <f>IF(AC80&gt;0,Standing!$C$32*0.45,0)</f>
        <v>0</v>
      </c>
      <c r="BQ80" s="281">
        <f>IF(AC80&gt;0,Standing!$C$32*0.66,0)</f>
        <v>0</v>
      </c>
      <c r="BR80" s="282">
        <f>IF(AC80&gt;0,Standing!$C$32*0.33,0)</f>
        <v>0</v>
      </c>
      <c r="BS80" s="283">
        <f>IF(AC80&gt;0,Standing!$C$32*0.33,0)</f>
        <v>0</v>
      </c>
      <c r="BT80" s="284">
        <f>IF(AC80&gt;0,Standing!$C$32*0.45,0)</f>
        <v>0</v>
      </c>
      <c r="BU80" s="280">
        <f>IF(AC80&gt;0,Standing!$C$36*0.9,0)</f>
        <v>0</v>
      </c>
      <c r="BV80" s="281">
        <f>IF(AC80&gt;0,Standing!$C$36*0.45,0)</f>
        <v>0</v>
      </c>
      <c r="BW80" s="282">
        <f>IF(AC80&gt;0,Standing!$C$126*0.66,0)</f>
        <v>0</v>
      </c>
      <c r="BX80" s="283">
        <f>IF(AC80&gt;0,Standing!$C$126*0.66,0)</f>
        <v>0</v>
      </c>
      <c r="BY80" s="284">
        <f>IF(AC80&gt;0,Standing!$C$126*0.4,0)</f>
        <v>0</v>
      </c>
      <c r="BZ80" s="280">
        <f>IF(AC80&gt;0,Standing!$C$126*0.33,0)</f>
        <v>0</v>
      </c>
      <c r="CA80" s="281">
        <f>IF(AC80&gt;0,Standing!$C$132*0.8,0)</f>
        <v>0</v>
      </c>
      <c r="CB80" s="282">
        <f>IF(AC80&gt;0,Standing!$C$132*0.66,0)</f>
        <v>0</v>
      </c>
      <c r="CC80" s="283">
        <f>IF(AC80&gt;0,Standing!$C$132*0.5,0)</f>
        <v>0</v>
      </c>
      <c r="CD80" s="284">
        <f>IF(AC80&gt;0,Standing!$C$132*0.5,0)</f>
        <v>0</v>
      </c>
      <c r="CE80" s="280">
        <f>IF(AC80&gt;0,Standing!$C$132*0.4,0)</f>
        <v>0</v>
      </c>
      <c r="CF80" s="281">
        <f>IF(AC80&gt;0,Standing!$C$132*0.66,0)</f>
        <v>0</v>
      </c>
      <c r="CG80" s="282">
        <f>IF(AC80&gt;0,Standing!$C$132*0.5,0)</f>
        <v>0</v>
      </c>
      <c r="CH80" s="283">
        <f>IF(AC80&gt;0,Standing!$C$132*0.5,0)</f>
        <v>0</v>
      </c>
      <c r="CI80" s="284">
        <f>IF(AC80&gt;0,Standing!$C$132*0.5,0)</f>
        <v>0</v>
      </c>
      <c r="CJ80" s="280">
        <f>IF(AC80&gt;0,Standing!$C$132*0.5,0)</f>
        <v>0</v>
      </c>
      <c r="CK80" s="281">
        <f>IF(AC80&gt;0,Standing!$C$126*0.55,0)</f>
        <v>0</v>
      </c>
      <c r="CL80" s="282">
        <f>IF(AC80&gt;0,Standing!$C$126,0)</f>
        <v>0</v>
      </c>
      <c r="CM80" s="283">
        <f>IF(AC80&gt;0,Standing!$C$126*0.9,0)</f>
        <v>0</v>
      </c>
      <c r="CN80" s="284">
        <f>IF(AC80&gt;0,Standing!$C$126*0.33,0)</f>
        <v>0</v>
      </c>
      <c r="CO80" s="280">
        <f>IF(AC80&gt;0,Standing!$C$126*0.4,0)</f>
        <v>0</v>
      </c>
      <c r="CP80" s="281">
        <f>IF(AC80&gt;0,Standing!$C$26*0.25,0)</f>
        <v>0</v>
      </c>
      <c r="CQ80" s="282">
        <f>IF(AC80&gt;0,Standing!$C$26*0.165,0)</f>
        <v>0</v>
      </c>
      <c r="CR80" s="283">
        <f>IF(AC80&gt;0,Standing!$C$26*0.2,0)</f>
        <v>0</v>
      </c>
      <c r="CS80" s="285">
        <f>IF(AC80&gt;0,Standing!$C$26*0.16,0)</f>
        <v>0</v>
      </c>
      <c r="CT80" s="286" t="s">
        <v>48</v>
      </c>
      <c r="CU80" s="286" t="s">
        <v>24</v>
      </c>
    </row>
    <row r="81" ht="15.75" customHeight="1">
      <c r="A81" s="51"/>
      <c r="B81" s="296" t="s">
        <v>536</v>
      </c>
      <c r="C81" s="189">
        <f>BM136</f>
        <v>2.504739173</v>
      </c>
      <c r="D81" s="218">
        <f t="shared" si="3"/>
        <v>0.7972813768</v>
      </c>
      <c r="E81" s="190">
        <f t="shared" si="4"/>
        <v>63.620375</v>
      </c>
      <c r="F81" s="122">
        <f t="shared" si="5"/>
        <v>20.25094697</v>
      </c>
      <c r="G81" s="123">
        <f>C81/Introduction!$I$20</f>
        <v>0.02609103305</v>
      </c>
      <c r="H81" s="192">
        <f t="shared" si="6"/>
        <v>0.008305014341</v>
      </c>
      <c r="I81" s="124">
        <f>E81/Introduction!$I$20</f>
        <v>0.6627122396</v>
      </c>
      <c r="J81" s="125">
        <f t="shared" si="7"/>
        <v>0.2109473643</v>
      </c>
      <c r="K81" s="51"/>
      <c r="L81" s="51"/>
      <c r="M81" s="51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286"/>
      <c r="AB81" s="286" t="s">
        <v>25</v>
      </c>
      <c r="AC81" s="287">
        <f>IF('Ship Data Imperial'!E82&gt;0,'Ship Data Imperial'!E82,AD81)</f>
        <v>0</v>
      </c>
      <c r="AD81" s="287">
        <f>'Ship Data Metric'!E82*0.03280839895</f>
        <v>0</v>
      </c>
      <c r="AE81" s="284">
        <f>IF(AC81&gt;0,Standing!$C$75*0.45,0)</f>
        <v>0</v>
      </c>
      <c r="AF81" s="280">
        <f>IF(AC81&gt;0,Standing!$C$75*0.25,0)</f>
        <v>0</v>
      </c>
      <c r="AG81" s="281">
        <f>IF(AC81&gt;0,Standing!$C$75*0.165,0)</f>
        <v>0</v>
      </c>
      <c r="AH81" s="282">
        <f>IF(AC81&gt;0,Standing!$C$75*0.5,0)</f>
        <v>0</v>
      </c>
      <c r="AI81" s="283">
        <f>IF(AC81&gt;0,Standing!$C$75*0.16,0)</f>
        <v>0</v>
      </c>
      <c r="AJ81" s="284">
        <f>IF(AC81&gt;0,Standing!$C$75*0.2,0)</f>
        <v>0</v>
      </c>
      <c r="AK81" s="281">
        <f>IF(AC81&gt;0,Standing!$C$81*0.66,0)</f>
        <v>0</v>
      </c>
      <c r="AL81" s="282">
        <f t="shared" si="8"/>
        <v>0</v>
      </c>
      <c r="AM81" s="283">
        <f>IF(AC81&gt;0,Standing!$C$81*0.45,0)</f>
        <v>0</v>
      </c>
      <c r="AN81" s="284">
        <f>IF(AC81&gt;0,Standing!$C$81*0.55,0)</f>
        <v>0</v>
      </c>
      <c r="AO81" s="280">
        <f>IF(AC81&gt;0,Standing!$C$81*0.36,0)</f>
        <v>0</v>
      </c>
      <c r="AP81" s="281">
        <f>IF(AC81&gt;0,Standing!$C$81,0)</f>
        <v>0</v>
      </c>
      <c r="AQ81" s="282">
        <f>IF(AC81&gt;0,Standing!$C$85*0.9,0)</f>
        <v>0</v>
      </c>
      <c r="AR81" s="283">
        <f>IF(AC81&gt;0,Standing!$C$85*0.5,0)</f>
        <v>0</v>
      </c>
      <c r="AS81" s="284">
        <f>IF(AC81&gt;0,Standing!$C$85*0.55,0)</f>
        <v>0</v>
      </c>
      <c r="AT81" s="280">
        <f>IF(AC81&gt;0,Standing!$C$85*0.66,0)</f>
        <v>0</v>
      </c>
      <c r="AU81" s="281">
        <f>IF(AC81&gt;0,Standing!$C$75*0.2,0)</f>
        <v>0</v>
      </c>
      <c r="AV81" s="282">
        <f>IF(AC81&gt;0,Standing!$C$75*0.2,0)</f>
        <v>0</v>
      </c>
      <c r="AW81" s="283">
        <f>IF(AC81&gt;0,Standing!$C$26*0.33,0)</f>
        <v>0</v>
      </c>
      <c r="AX81" s="284">
        <f>IF(AC81&gt;0,Standing!$C$26*0.2,0)</f>
        <v>0</v>
      </c>
      <c r="AY81" s="280">
        <f>IF(AC81&gt;0,Standing!$C$26*0.25,0)</f>
        <v>0</v>
      </c>
      <c r="AZ81" s="281">
        <f>IF(AC81&gt;0,Standing!$C$26*0.33,0)</f>
        <v>0</v>
      </c>
      <c r="BA81" s="282">
        <f>IF(AC81&gt;0,Standing!$C$26*0.15,0)</f>
        <v>0</v>
      </c>
      <c r="BB81" s="283">
        <f>IF(AC81&gt;0,Standing!$C$26*0.125,0)</f>
        <v>0</v>
      </c>
      <c r="BC81" s="284">
        <f>IF(AC81&gt;0,Standing!$C$32*0.33,0)</f>
        <v>0</v>
      </c>
      <c r="BD81" s="280">
        <f>IF(AC81&gt;0,Standing!$C$32*0.5,0)</f>
        <v>0</v>
      </c>
      <c r="BE81" s="281">
        <f>IF(AC81&gt;0,Standing!$C$32*0.33,0)</f>
        <v>0</v>
      </c>
      <c r="BF81" s="282">
        <f>IF(AC81&gt;0,Standing!$C$32*0.33,0)</f>
        <v>0</v>
      </c>
      <c r="BG81" s="283">
        <f>IF(AC81&gt;0,Standing!$C$32*0.25,0)</f>
        <v>0</v>
      </c>
      <c r="BH81" s="284">
        <f>IF(AC81&gt;0,Standing!$C$32*0.33,0)</f>
        <v>0</v>
      </c>
      <c r="BI81" s="280">
        <f>IF(AC81&gt;0,Standing!$C$26*0.5,0)</f>
        <v>0</v>
      </c>
      <c r="BJ81" s="281">
        <f>IF(AC81&gt;0,Standing!$C$26*0.45,0)</f>
        <v>0</v>
      </c>
      <c r="BK81" s="282">
        <f>IF(AC81&gt;0,Standing!$C$26*0.5,0)</f>
        <v>0</v>
      </c>
      <c r="BL81" s="283">
        <f>IF(AC81&gt;0,Standing!$C$32*0.66,0)</f>
        <v>0</v>
      </c>
      <c r="BM81" s="281">
        <f>IF(AC81&gt;0,Standing!$C$32*0.9,0)</f>
        <v>0</v>
      </c>
      <c r="BN81" s="284">
        <f t="shared" si="9"/>
        <v>0</v>
      </c>
      <c r="BO81" s="282">
        <f>IF(AC81&gt;0,Standing!$C$32*0.5,0)</f>
        <v>0</v>
      </c>
      <c r="BP81" s="280">
        <f>IF(AC81&gt;0,Standing!$C$32*0.45,0)</f>
        <v>0</v>
      </c>
      <c r="BQ81" s="281">
        <f>IF(AC81&gt;0,Standing!$C$32*0.66,0)</f>
        <v>0</v>
      </c>
      <c r="BR81" s="282">
        <f>IF(AC81&gt;0,Standing!$C$32*0.33,0)</f>
        <v>0</v>
      </c>
      <c r="BS81" s="283">
        <f>IF(AC81&gt;0,Standing!$C$32*0.33,0)</f>
        <v>0</v>
      </c>
      <c r="BT81" s="284">
        <f>IF(AC81&gt;0,Standing!$C$32*0.45,0)</f>
        <v>0</v>
      </c>
      <c r="BU81" s="280">
        <f>IF(AC81&gt;0,Standing!$C$36*0.9,0)</f>
        <v>0</v>
      </c>
      <c r="BV81" s="281">
        <f>IF(AC81&gt;0,Standing!$C$36*0.45,0)</f>
        <v>0</v>
      </c>
      <c r="BW81" s="282">
        <f>IF(AC81&gt;0,Standing!$C$126*0.66,0)</f>
        <v>0</v>
      </c>
      <c r="BX81" s="283">
        <f>IF(AC81&gt;0,Standing!$C$126*0.66,0)</f>
        <v>0</v>
      </c>
      <c r="BY81" s="284">
        <f>IF(AC81&gt;0,Standing!$C$126*0.4,0)</f>
        <v>0</v>
      </c>
      <c r="BZ81" s="280">
        <f>IF(AC81&gt;0,Standing!$C$126*0.33,0)</f>
        <v>0</v>
      </c>
      <c r="CA81" s="281">
        <f>IF(AC81&gt;0,Standing!$C$132*0.8,0)</f>
        <v>0</v>
      </c>
      <c r="CB81" s="282">
        <f>IF(AC81&gt;0,Standing!$C$132*0.66,0)</f>
        <v>0</v>
      </c>
      <c r="CC81" s="283">
        <f>IF(AC81&gt;0,Standing!$C$132*0.5,0)</f>
        <v>0</v>
      </c>
      <c r="CD81" s="284">
        <f>IF(AC81&gt;0,Standing!$C$132*0.5,0)</f>
        <v>0</v>
      </c>
      <c r="CE81" s="280">
        <f>IF(AC81&gt;0,Standing!$C$132*0.4,0)</f>
        <v>0</v>
      </c>
      <c r="CF81" s="281">
        <f>IF(AC81&gt;0,Standing!$C$132*0.66,0)</f>
        <v>0</v>
      </c>
      <c r="CG81" s="282">
        <f>IF(AC81&gt;0,Standing!$C$132*0.5,0)</f>
        <v>0</v>
      </c>
      <c r="CH81" s="283">
        <f>IF(AC81&gt;0,Standing!$C$132*0.5,0)</f>
        <v>0</v>
      </c>
      <c r="CI81" s="284">
        <f>IF(AC81&gt;0,Standing!$C$132*0.5,0)</f>
        <v>0</v>
      </c>
      <c r="CJ81" s="280">
        <f>IF(AC81&gt;0,Standing!$C$132*0.5,0)</f>
        <v>0</v>
      </c>
      <c r="CK81" s="281">
        <f>IF(AC81&gt;0,Standing!$C$126*0.55,0)</f>
        <v>0</v>
      </c>
      <c r="CL81" s="282">
        <f>IF(AC81&gt;0,Standing!$C$126,0)</f>
        <v>0</v>
      </c>
      <c r="CM81" s="283">
        <f>IF(AC81&gt;0,Standing!$C$126*0.9,0)</f>
        <v>0</v>
      </c>
      <c r="CN81" s="284">
        <f>IF(AC81&gt;0,Standing!$C$126*0.33,0)</f>
        <v>0</v>
      </c>
      <c r="CO81" s="280">
        <f>IF(AC81&gt;0,Standing!$C$126*0.4,0)</f>
        <v>0</v>
      </c>
      <c r="CP81" s="281">
        <f>IF(AC81&gt;0,Standing!$C$26*0.25,0)</f>
        <v>0</v>
      </c>
      <c r="CQ81" s="282">
        <f>IF(AC81&gt;0,Standing!$C$26*0.165,0)</f>
        <v>0</v>
      </c>
      <c r="CR81" s="283">
        <f>IF(AC81&gt;0,Standing!$C$26*0.2,0)</f>
        <v>0</v>
      </c>
      <c r="CS81" s="285">
        <f>IF(AC81&gt;0,Standing!$C$26*0.16,0)</f>
        <v>0</v>
      </c>
      <c r="CT81" s="286"/>
      <c r="CU81" s="286" t="s">
        <v>25</v>
      </c>
    </row>
    <row r="82" ht="15.75" customHeight="1">
      <c r="A82" s="51"/>
      <c r="B82" s="296" t="s">
        <v>537</v>
      </c>
      <c r="C82" s="189">
        <f>BN136</f>
        <v>1.054544304</v>
      </c>
      <c r="D82" s="218">
        <f t="shared" si="3"/>
        <v>0.3356710926</v>
      </c>
      <c r="E82" s="190">
        <f t="shared" si="4"/>
        <v>26.78542533</v>
      </c>
      <c r="F82" s="122">
        <f t="shared" si="5"/>
        <v>8.526045752</v>
      </c>
      <c r="G82" s="123">
        <f>C82/Introduction!$I$20</f>
        <v>0.0109848365</v>
      </c>
      <c r="H82" s="192">
        <f t="shared" si="6"/>
        <v>0.003496573881</v>
      </c>
      <c r="I82" s="124">
        <f>E82/Introduction!$I$20</f>
        <v>0.2790148472</v>
      </c>
      <c r="J82" s="125">
        <f t="shared" si="7"/>
        <v>0.08881297658</v>
      </c>
      <c r="K82" s="51"/>
      <c r="L82" s="51"/>
      <c r="M82" s="51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286"/>
      <c r="AB82" s="286" t="s">
        <v>26</v>
      </c>
      <c r="AC82" s="287">
        <f>IF('Ship Data Imperial'!E83&gt;0,'Ship Data Imperial'!E83,AD82)</f>
        <v>0</v>
      </c>
      <c r="AD82" s="287">
        <f>'Ship Data Metric'!E83*0.03280839895</f>
        <v>0</v>
      </c>
      <c r="AE82" s="284">
        <f>IF(AC82&gt;0,Standing!$C$75*0.45,0)</f>
        <v>0</v>
      </c>
      <c r="AF82" s="280">
        <f>IF(AC82&gt;0,Standing!$C$75*0.25,0)</f>
        <v>0</v>
      </c>
      <c r="AG82" s="281">
        <f>IF(AC82&gt;0,Standing!$C$75*0.2,0)</f>
        <v>0</v>
      </c>
      <c r="AH82" s="282">
        <f>IF(AC82&gt;0,Standing!$C$75*0.5,0)</f>
        <v>0</v>
      </c>
      <c r="AI82" s="283">
        <f>IF(AC82&gt;0,Standing!$C$75*0.2,0)</f>
        <v>0</v>
      </c>
      <c r="AJ82" s="284">
        <f>IF(AC82&gt;0,Standing!$C$75*0.25,0)</f>
        <v>0</v>
      </c>
      <c r="AK82" s="281">
        <f>IF(AC82&gt;0,Standing!$C$81*0.8,0)</f>
        <v>0</v>
      </c>
      <c r="AL82" s="282">
        <f t="shared" si="8"/>
        <v>0</v>
      </c>
      <c r="AM82" s="283">
        <f>IF(AC82&gt;0,Standing!$C$81*0.45,0)</f>
        <v>0</v>
      </c>
      <c r="AN82" s="284">
        <f>IF(AC82&gt;0,Standing!$C$81*0.55,0)</f>
        <v>0</v>
      </c>
      <c r="AO82" s="280">
        <f>IF(AC82&gt;0,Standing!$C$81*0.36,0)</f>
        <v>0</v>
      </c>
      <c r="AP82" s="281">
        <f>IF(AC82&gt;0,Standing!$C$81*0.9,0)</f>
        <v>0</v>
      </c>
      <c r="AQ82" s="282">
        <f>IF(AC82&gt;0,Standing!$C$85*0.9,0)</f>
        <v>0</v>
      </c>
      <c r="AR82" s="283">
        <f>IF(AC82&gt;0,Standing!$C$85*0.5,0)</f>
        <v>0</v>
      </c>
      <c r="AS82" s="284">
        <f>IF(AC82&gt;0,Standing!$C$85*0.55,0)</f>
        <v>0</v>
      </c>
      <c r="AT82" s="280">
        <f>IF(AC82&gt;0,Standing!$C$85*0.66,0)</f>
        <v>0</v>
      </c>
      <c r="AU82" s="281">
        <f>IF(AC82&gt;0,Standing!$C$75*0.2,0)</f>
        <v>0</v>
      </c>
      <c r="AV82" s="282">
        <f>IF(AC82&gt;0,Standing!$C$75*0.2,0)</f>
        <v>0</v>
      </c>
      <c r="AW82" s="283">
        <f>IF(AC82&gt;0,Standing!$C$26*0.33,0)</f>
        <v>0</v>
      </c>
      <c r="AX82" s="284">
        <f>IF(AC82&gt;0,Standing!$C$26*0.2,0)</f>
        <v>0</v>
      </c>
      <c r="AY82" s="280">
        <f>IF(AC82&gt;0,Standing!$C$26*0.25,0)</f>
        <v>0</v>
      </c>
      <c r="AZ82" s="281">
        <f>IF(AC82&gt;0,Standing!$C$26*0.33,0)</f>
        <v>0</v>
      </c>
      <c r="BA82" s="282">
        <f>IF(AC82&gt;0,Standing!$C$26*0.15,0)</f>
        <v>0</v>
      </c>
      <c r="BB82" s="283">
        <f>IF(AC82&gt;0,Standing!$C$26*0.125,0)</f>
        <v>0</v>
      </c>
      <c r="BC82" s="284">
        <f>IF(AC82&gt;0,Standing!$C$32*0.33,0)</f>
        <v>0</v>
      </c>
      <c r="BD82" s="280">
        <f>IF(AC82&gt;0,Standing!$C$32*0.5,0)</f>
        <v>0</v>
      </c>
      <c r="BE82" s="281">
        <f>IF(AC82&gt;0,Standing!$C$32*0.33,0)</f>
        <v>0</v>
      </c>
      <c r="BF82" s="282">
        <f>IF(AC82&gt;0,Standing!$C$32*0.33,0)</f>
        <v>0</v>
      </c>
      <c r="BG82" s="283">
        <f>IF(AC82&gt;0,Standing!$C$32*0.25,0)</f>
        <v>0</v>
      </c>
      <c r="BH82" s="284">
        <f>IF(AC82&gt;0,Standing!$C$32*0.4,0)</f>
        <v>0</v>
      </c>
      <c r="BI82" s="280">
        <f>IF(AC82&gt;0,Standing!$C$26*0.5,0)</f>
        <v>0</v>
      </c>
      <c r="BJ82" s="281">
        <f>IF(AC82&gt;0,Standing!$C$26*0.45,0)</f>
        <v>0</v>
      </c>
      <c r="BK82" s="282">
        <f>IF(AC82&gt;0,Standing!$C$26*0.5,0)</f>
        <v>0</v>
      </c>
      <c r="BL82" s="283">
        <f>IF(AC82&gt;0,Standing!$C$32*0.66,0)</f>
        <v>0</v>
      </c>
      <c r="BM82" s="281">
        <f>IF(AC82&gt;0,Standing!$C$32*0.85,0)</f>
        <v>0</v>
      </c>
      <c r="BN82" s="284">
        <f t="shared" si="9"/>
        <v>0</v>
      </c>
      <c r="BO82" s="282">
        <f>IF(AC82&gt;0,Standing!$C$32*0.5,0)</f>
        <v>0</v>
      </c>
      <c r="BP82" s="280">
        <f>IF(AC82&gt;0,Standing!$C$32*0.45,0)</f>
        <v>0</v>
      </c>
      <c r="BQ82" s="281">
        <f>IF(AC82&gt;0,Standing!$C$32*0.66,0)</f>
        <v>0</v>
      </c>
      <c r="BR82" s="282">
        <f>IF(AC82&gt;0,Standing!$C$32*0.33,0)</f>
        <v>0</v>
      </c>
      <c r="BS82" s="283">
        <f>IF(AC82&gt;0,Standing!$C$32*0.33,0)</f>
        <v>0</v>
      </c>
      <c r="BT82" s="284">
        <f>IF(AC82&gt;0,Standing!$C$32*0.45,0)</f>
        <v>0</v>
      </c>
      <c r="BU82" s="280">
        <f>IF(AC82&gt;0,Standing!$C$36*0.9,0)</f>
        <v>0</v>
      </c>
      <c r="BV82" s="281">
        <f>IF(AC82&gt;0,Standing!$C$36*0.45,0)</f>
        <v>0</v>
      </c>
      <c r="BW82" s="282">
        <f>IF(AC82&gt;0,Standing!$C$126*0.66,0)</f>
        <v>0</v>
      </c>
      <c r="BX82" s="283">
        <f>IF(AC82&gt;0,Standing!$C$126*0.66,0)</f>
        <v>0</v>
      </c>
      <c r="BY82" s="284">
        <f>IF(AC82&gt;0,Standing!$C$126*0.4,0)</f>
        <v>0</v>
      </c>
      <c r="BZ82" s="280">
        <f>IF(AC82&gt;0,Standing!$C$126*0.33,0)</f>
        <v>0</v>
      </c>
      <c r="CA82" s="281">
        <f>IF(AC82&gt;0,Standing!$C$132*0.8,0)</f>
        <v>0</v>
      </c>
      <c r="CB82" s="282">
        <f>IF(AC82&gt;0,Standing!$C$132*0.66,0)</f>
        <v>0</v>
      </c>
      <c r="CC82" s="283">
        <f>IF(AC82&gt;0,Standing!$C$132*0.5,0)</f>
        <v>0</v>
      </c>
      <c r="CD82" s="284">
        <f>IF(AC82&gt;0,Standing!$C$132*0.5,0)</f>
        <v>0</v>
      </c>
      <c r="CE82" s="280">
        <f>IF(AC82&gt;0,Standing!$C$132*0.4,0)</f>
        <v>0</v>
      </c>
      <c r="CF82" s="281">
        <f>IF(AC82&gt;0,Standing!$C$132*0.66,0)</f>
        <v>0</v>
      </c>
      <c r="CG82" s="282">
        <f>IF(AC82&gt;0,Standing!$C$132*0.5,0)</f>
        <v>0</v>
      </c>
      <c r="CH82" s="283">
        <f>IF(AC82&gt;0,Standing!$C$132*0.5,0)</f>
        <v>0</v>
      </c>
      <c r="CI82" s="284">
        <f>IF(AC82&gt;0,Standing!$C$132*0.5,0)</f>
        <v>0</v>
      </c>
      <c r="CJ82" s="280">
        <f>IF(AC82&gt;0,Standing!$C$132*0.5,0)</f>
        <v>0</v>
      </c>
      <c r="CK82" s="281">
        <f>IF(AC82&gt;0,Standing!$C$126*0.55,0)</f>
        <v>0</v>
      </c>
      <c r="CL82" s="282">
        <f>IF(AC82&gt;0,Standing!$C$126,0)</f>
        <v>0</v>
      </c>
      <c r="CM82" s="283">
        <f>IF(AC82&gt;0,Standing!$C$126*0.9,0)</f>
        <v>0</v>
      </c>
      <c r="CN82" s="284">
        <f>IF(AC82&gt;0,Standing!$C$126*0.33,0)</f>
        <v>0</v>
      </c>
      <c r="CO82" s="280">
        <f>IF(AC82&gt;0,Standing!$C$126*0.4,0)</f>
        <v>0</v>
      </c>
      <c r="CP82" s="281">
        <f>IF(AC82&gt;0,Standing!$C$26*0.25,0)</f>
        <v>0</v>
      </c>
      <c r="CQ82" s="282">
        <f>IF(AC82&gt;0,Standing!$C$26*0.2,0)</f>
        <v>0</v>
      </c>
      <c r="CR82" s="283">
        <f>IF(AC82&gt;0,Standing!$C$26*0.25,0)</f>
        <v>0</v>
      </c>
      <c r="CS82" s="285">
        <f>IF(AC82&gt;0,Standing!$C$26*0.2,0)</f>
        <v>0</v>
      </c>
      <c r="CT82" s="286"/>
      <c r="CU82" s="286" t="s">
        <v>26</v>
      </c>
    </row>
    <row r="83" ht="15.75" customHeight="1">
      <c r="A83" s="51"/>
      <c r="B83" s="296" t="s">
        <v>538</v>
      </c>
      <c r="C83" s="189">
        <f>BP136</f>
        <v>1.326038386</v>
      </c>
      <c r="D83" s="218">
        <f t="shared" si="3"/>
        <v>0.4220901406</v>
      </c>
      <c r="E83" s="190">
        <f t="shared" si="4"/>
        <v>33.681375</v>
      </c>
      <c r="F83" s="122">
        <f t="shared" si="5"/>
        <v>10.72108957</v>
      </c>
      <c r="G83" s="123">
        <f>C83/Introduction!$I$20</f>
        <v>0.01381289985</v>
      </c>
      <c r="H83" s="192">
        <f t="shared" si="6"/>
        <v>0.004396772298</v>
      </c>
      <c r="I83" s="124">
        <f>E83/Introduction!$I$20</f>
        <v>0.3508476562</v>
      </c>
      <c r="J83" s="125">
        <f t="shared" si="7"/>
        <v>0.1116780164</v>
      </c>
      <c r="K83" s="51"/>
      <c r="L83" s="51"/>
      <c r="M83" s="51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286"/>
      <c r="AB83" s="286" t="s">
        <v>27</v>
      </c>
      <c r="AC83" s="287">
        <f>IF('Ship Data Imperial'!E84&gt;0,'Ship Data Imperial'!E84,AD83)</f>
        <v>0</v>
      </c>
      <c r="AD83" s="287">
        <f>'Ship Data Metric'!E84*0.03280839895</f>
        <v>0</v>
      </c>
      <c r="AE83" s="284">
        <f>IF(AC83&gt;0,Standing!$C$75*0.45,0)</f>
        <v>0</v>
      </c>
      <c r="AF83" s="280">
        <f>IF(AC83&gt;0,Standing!$C$75*0.33,0)</f>
        <v>0</v>
      </c>
      <c r="AG83" s="281">
        <f>IF(AC83&gt;0,Standing!$C$75*0.2,0)</f>
        <v>0</v>
      </c>
      <c r="AH83" s="282">
        <f>IF(AC83&gt;0,Standing!$C$75*0.5,0)</f>
        <v>0</v>
      </c>
      <c r="AI83" s="283">
        <f>IF(AC83&gt;0,Standing!$C$75*0.2,0)</f>
        <v>0</v>
      </c>
      <c r="AJ83" s="284">
        <f>IF(AC83&gt;0,Standing!$C$75*0.25,0)</f>
        <v>0</v>
      </c>
      <c r="AK83" s="281">
        <f>IF(AC83&gt;0,Standing!$C$81*0.8,0)</f>
        <v>0</v>
      </c>
      <c r="AL83" s="282">
        <f t="shared" si="8"/>
        <v>0</v>
      </c>
      <c r="AM83" s="283">
        <f>IF(AC83&gt;0,Standing!$C$81*0.45,0)</f>
        <v>0</v>
      </c>
      <c r="AN83" s="284">
        <f>IF(AC83&gt;0,Standing!$C$81*0.55,0)</f>
        <v>0</v>
      </c>
      <c r="AO83" s="280">
        <f>IF(AC83&gt;0,Standing!$C$81*0.36,0)</f>
        <v>0</v>
      </c>
      <c r="AP83" s="281">
        <f>IF(AC83&gt;0,Standing!$C$81*0.9,0)</f>
        <v>0</v>
      </c>
      <c r="AQ83" s="282">
        <f>IF(AC83&gt;0,Standing!$C$85*0.9,0)</f>
        <v>0</v>
      </c>
      <c r="AR83" s="283">
        <f>IF(AC83&gt;0,Standing!$C$85*0.5,0)</f>
        <v>0</v>
      </c>
      <c r="AS83" s="284">
        <f>IF(AC83&gt;0,Standing!$C$85*0.55,0)</f>
        <v>0</v>
      </c>
      <c r="AT83" s="280">
        <f>IF(AC83&gt;0,Standing!$C$85*0.66,0)</f>
        <v>0</v>
      </c>
      <c r="AU83" s="281">
        <f>IF(AC83&gt;0,Standing!$C$75*0.25,0)</f>
        <v>0</v>
      </c>
      <c r="AV83" s="282">
        <f>IF(AC83&gt;0,Standing!$C$75*0.2,0)</f>
        <v>0</v>
      </c>
      <c r="AW83" s="283">
        <f>IF(AC83&gt;0,Standing!$C$26*0.33,0)</f>
        <v>0</v>
      </c>
      <c r="AX83" s="284">
        <f>IF(AC83&gt;0,Standing!$C$26*0.2,0)</f>
        <v>0</v>
      </c>
      <c r="AY83" s="280">
        <f>IF(AC83&gt;0,Standing!$C$26*0.25,0)</f>
        <v>0</v>
      </c>
      <c r="AZ83" s="281">
        <f>IF(AC83&gt;0,Standing!$C$26*0.33,0)</f>
        <v>0</v>
      </c>
      <c r="BA83" s="282">
        <f>IF(AC83&gt;0,Standing!$C$26*0.15,0)</f>
        <v>0</v>
      </c>
      <c r="BB83" s="283">
        <f>IF(AC83&gt;0,Standing!$C$26*0.125,0)</f>
        <v>0</v>
      </c>
      <c r="BC83" s="284">
        <f>IF(AC83&gt;0,Standing!$C$32*0.33,0)</f>
        <v>0</v>
      </c>
      <c r="BD83" s="280">
        <f>IF(AC83&gt;0,Standing!$C$32*0.5,0)</f>
        <v>0</v>
      </c>
      <c r="BE83" s="281">
        <f>IF(AC83&gt;0,Standing!$C$32*0.33,0)</f>
        <v>0</v>
      </c>
      <c r="BF83" s="282">
        <f>IF(AC83&gt;0,Standing!$C$32*0.33,0)</f>
        <v>0</v>
      </c>
      <c r="BG83" s="283">
        <f>IF(AC83&gt;0,Standing!$C$32*0.3,0)</f>
        <v>0</v>
      </c>
      <c r="BH83" s="284">
        <f>IF(AC83&gt;0,Standing!$C$32*0.4,0)</f>
        <v>0</v>
      </c>
      <c r="BI83" s="280">
        <f>IF(AC83&gt;0,Standing!$C$26*0.5,0)</f>
        <v>0</v>
      </c>
      <c r="BJ83" s="281">
        <f>IF(AC83&gt;0,Standing!$C$26*0.45,0)</f>
        <v>0</v>
      </c>
      <c r="BK83" s="282">
        <f>IF(AC83&gt;0,Standing!$C$26*0.5,0)</f>
        <v>0</v>
      </c>
      <c r="BL83" s="283">
        <f>IF(AC83&gt;0,Standing!$C$32*0.66,0)</f>
        <v>0</v>
      </c>
      <c r="BM83" s="281">
        <f>IF(AC83&gt;0,Standing!$C$32*0.85,0)</f>
        <v>0</v>
      </c>
      <c r="BN83" s="284">
        <f t="shared" si="9"/>
        <v>0</v>
      </c>
      <c r="BO83" s="282">
        <f>IF(AC83&gt;0,Standing!$C$32*0.45,0)</f>
        <v>0</v>
      </c>
      <c r="BP83" s="280">
        <f>IF(AC83&gt;0,Standing!$C$32*0.45,0)</f>
        <v>0</v>
      </c>
      <c r="BQ83" s="281">
        <f>IF(AC83&gt;0,Standing!$C$32*0.66,0)</f>
        <v>0</v>
      </c>
      <c r="BR83" s="282">
        <f>IF(AC83&gt;0,Standing!$C$32*0.33,0)</f>
        <v>0</v>
      </c>
      <c r="BS83" s="283">
        <f>IF(AC83&gt;0,Standing!$C$32*0.33,0)</f>
        <v>0</v>
      </c>
      <c r="BT83" s="284">
        <f>IF(AC83&gt;0,Standing!$C$32*0.45,0)</f>
        <v>0</v>
      </c>
      <c r="BU83" s="280">
        <f>IF(AC83&gt;0,Standing!$C$36*0.9,0)</f>
        <v>0</v>
      </c>
      <c r="BV83" s="281">
        <f>IF(AC83&gt;0,Standing!$C$36*0.45,0)</f>
        <v>0</v>
      </c>
      <c r="BW83" s="282">
        <f>IF(AC83&gt;0,Standing!$C$126*0.66,0)</f>
        <v>0</v>
      </c>
      <c r="BX83" s="283">
        <f>IF(AC83&gt;0,Standing!$C$126*0.66,0)</f>
        <v>0</v>
      </c>
      <c r="BY83" s="284">
        <f>IF(AC83&gt;0,Standing!$C$126*0.4,0)</f>
        <v>0</v>
      </c>
      <c r="BZ83" s="280">
        <f>IF(AC83&gt;0,Standing!$C$126*0.33,0)</f>
        <v>0</v>
      </c>
      <c r="CA83" s="281">
        <f>IF(AC83&gt;0,Standing!$C$132,0)</f>
        <v>0</v>
      </c>
      <c r="CB83" s="282">
        <f>IF(AC83&gt;0,Standing!$C$132*0.66,0)</f>
        <v>0</v>
      </c>
      <c r="CC83" s="283">
        <f>IF(AC83&gt;0,Standing!$C$132*0.5,0)</f>
        <v>0</v>
      </c>
      <c r="CD83" s="284">
        <f>IF(AC83&gt;0,Standing!$C$132*0.5,0)</f>
        <v>0</v>
      </c>
      <c r="CE83" s="280">
        <f>IF(AC83&gt;0,Standing!$C$132*0.5,0)</f>
        <v>0</v>
      </c>
      <c r="CF83" s="281">
        <f>IF(AC83&gt;0,Standing!$C$132*0.66,0)</f>
        <v>0</v>
      </c>
      <c r="CG83" s="282">
        <f>IF(AC83&gt;0,Standing!$C$132*0.5,0)</f>
        <v>0</v>
      </c>
      <c r="CH83" s="283">
        <f>IF(AC83&gt;0,Standing!$C$132*0.5,0)</f>
        <v>0</v>
      </c>
      <c r="CI83" s="284">
        <f>IF(AC83&gt;0,Standing!$C$132*0.5,0)</f>
        <v>0</v>
      </c>
      <c r="CJ83" s="280">
        <f>IF(AC83&gt;0,Standing!$C$132*0.5,0)</f>
        <v>0</v>
      </c>
      <c r="CK83" s="281">
        <f>IF(AC83&gt;0,Standing!$C$126*0.55,0)</f>
        <v>0</v>
      </c>
      <c r="CL83" s="282">
        <f>IF(AC83&gt;0,Standing!$C$126,0)</f>
        <v>0</v>
      </c>
      <c r="CM83" s="283">
        <f>IF(AC83&gt;0,Standing!$C$126*0.9,0)</f>
        <v>0</v>
      </c>
      <c r="CN83" s="284">
        <f>IF(AC83&gt;0,Standing!$C$126*0.33,0)</f>
        <v>0</v>
      </c>
      <c r="CO83" s="280">
        <f>IF(AC83&gt;0,Standing!$C$126*0.4,0)</f>
        <v>0</v>
      </c>
      <c r="CP83" s="281">
        <f>IF(AC83&gt;0,Standing!$C$26*0.33,0)</f>
        <v>0</v>
      </c>
      <c r="CQ83" s="282">
        <f>IF(AC83&gt;0,Standing!$C$26*0.2,0)</f>
        <v>0</v>
      </c>
      <c r="CR83" s="283">
        <f>IF(AC83&gt;0,Standing!$C$26*0.25,0)</f>
        <v>0</v>
      </c>
      <c r="CS83" s="285">
        <f>IF(AC83&gt;0,Standing!$C$26*0.2,0)</f>
        <v>0</v>
      </c>
      <c r="CT83" s="286"/>
      <c r="CU83" s="286" t="s">
        <v>27</v>
      </c>
    </row>
    <row r="84" ht="15.75" customHeight="1">
      <c r="A84" s="51"/>
      <c r="B84" s="296" t="s">
        <v>539</v>
      </c>
      <c r="C84" s="189">
        <f>Standing!$C$32*0.6</f>
        <v>1.768051181</v>
      </c>
      <c r="D84" s="218">
        <f t="shared" si="3"/>
        <v>0.5627868542</v>
      </c>
      <c r="E84" s="190">
        <f t="shared" si="4"/>
        <v>44.9085</v>
      </c>
      <c r="F84" s="122">
        <f t="shared" si="5"/>
        <v>14.2947861</v>
      </c>
      <c r="G84" s="123">
        <f>C84/Introduction!$I$20</f>
        <v>0.0184171998</v>
      </c>
      <c r="H84" s="192">
        <f t="shared" si="6"/>
        <v>0.005862363064</v>
      </c>
      <c r="I84" s="124">
        <f>E84/Introduction!$I$20</f>
        <v>0.467796875</v>
      </c>
      <c r="J84" s="125">
        <f t="shared" si="7"/>
        <v>0.1489040218</v>
      </c>
      <c r="K84" s="51"/>
      <c r="L84" s="51"/>
      <c r="M84" s="51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286"/>
      <c r="AB84" s="286" t="s">
        <v>28</v>
      </c>
      <c r="AC84" s="287">
        <f>IF('Ship Data Imperial'!E85&gt;0,'Ship Data Imperial'!E85,AD84)</f>
        <v>0</v>
      </c>
      <c r="AD84" s="287">
        <f>'Ship Data Metric'!E85*0.03280839895</f>
        <v>0</v>
      </c>
      <c r="AE84" s="284">
        <f>IF(AC84&gt;0,Standing!$C$75*0.65,0)</f>
        <v>0</v>
      </c>
      <c r="AF84" s="280">
        <f>IF(AC84&gt;0,Standing!$C$75*0.33,0)</f>
        <v>0</v>
      </c>
      <c r="AG84" s="281">
        <f>IF(AC84&gt;0,Standing!$C$75*0.2,0)</f>
        <v>0</v>
      </c>
      <c r="AH84" s="282">
        <f>IF(AC84&gt;0,Standing!$C$75*0.5,0)</f>
        <v>0</v>
      </c>
      <c r="AI84" s="283">
        <f>IF(AC84&gt;0,Standing!$C$75*0.2,0)</f>
        <v>0</v>
      </c>
      <c r="AJ84" s="284">
        <f>IF(AC84&gt;0,Standing!$C$75*0.25,0)</f>
        <v>0</v>
      </c>
      <c r="AK84" s="281">
        <f>IF(AC84&gt;0,Standing!$C$81*0.8,0)</f>
        <v>0</v>
      </c>
      <c r="AL84" s="282">
        <f t="shared" si="8"/>
        <v>0</v>
      </c>
      <c r="AM84" s="283">
        <f>IF(AC84&gt;0,Standing!$C$81*0.45,0)</f>
        <v>0</v>
      </c>
      <c r="AN84" s="284">
        <f>IF(AC84&gt;0,Standing!$C$81*0.55,0)</f>
        <v>0</v>
      </c>
      <c r="AO84" s="280">
        <f>IF(AC84&gt;0,Standing!$C$81*0.36,0)</f>
        <v>0</v>
      </c>
      <c r="AP84" s="281">
        <f>IF(AC84&gt;0,Standing!$C$81*0.9,0)</f>
        <v>0</v>
      </c>
      <c r="AQ84" s="282">
        <f>IF(AC84&gt;0,Standing!$C$85*0.9,0)</f>
        <v>0</v>
      </c>
      <c r="AR84" s="283">
        <f>IF(AC84&gt;0,Standing!$C$85*0.5,0)</f>
        <v>0</v>
      </c>
      <c r="AS84" s="284">
        <f>IF(AC84&gt;0,Standing!$C$85*0.55,0)</f>
        <v>0</v>
      </c>
      <c r="AT84" s="280">
        <f>IF(AC84&gt;0,Standing!$C$85*0.66,0)</f>
        <v>0</v>
      </c>
      <c r="AU84" s="281">
        <f>IF(AC84&gt;0,Standing!$C$75*0.25,0)</f>
        <v>0</v>
      </c>
      <c r="AV84" s="282">
        <f>IF(AC84&gt;0,Standing!$C$75*0.2,0)</f>
        <v>0</v>
      </c>
      <c r="AW84" s="283">
        <f>IF(AC84&gt;0,Standing!$C$26*0.33,0)</f>
        <v>0</v>
      </c>
      <c r="AX84" s="284">
        <f>IF(AC84&gt;0,Standing!$C$26*0.2,0)</f>
        <v>0</v>
      </c>
      <c r="AY84" s="280">
        <f>IF(AC84&gt;0,Standing!$C$26*0.25,0)</f>
        <v>0</v>
      </c>
      <c r="AZ84" s="281">
        <f>IF(AC84&gt;0,Standing!$C$26*0.33,0)</f>
        <v>0</v>
      </c>
      <c r="BA84" s="282">
        <f>IF(AC84&gt;0,Standing!$C$26*0.15,0)</f>
        <v>0</v>
      </c>
      <c r="BB84" s="283">
        <f>IF(AC84&gt;0,Standing!$C$26*0.125,0)</f>
        <v>0</v>
      </c>
      <c r="BC84" s="284">
        <f>IF(AC84&gt;0,Standing!$C$32*0.33,0)</f>
        <v>0</v>
      </c>
      <c r="BD84" s="280">
        <f>IF(AC84&gt;0,Standing!$C$32*0.5,0)</f>
        <v>0</v>
      </c>
      <c r="BE84" s="281">
        <f>IF(AC84&gt;0,Standing!$C$32*0.33,0)</f>
        <v>0</v>
      </c>
      <c r="BF84" s="282">
        <f>IF(AC84&gt;0,Standing!$C$32*0.33,0)</f>
        <v>0</v>
      </c>
      <c r="BG84" s="283">
        <f>IF(AC84&gt;0,Standing!$C$32*0.3,0)</f>
        <v>0</v>
      </c>
      <c r="BH84" s="284">
        <f>IF(AC84&gt;0,Standing!$C$32*0.4,0)</f>
        <v>0</v>
      </c>
      <c r="BI84" s="280">
        <f>IF(AC84&gt;0,Standing!$C$26*0.75,0)</f>
        <v>0</v>
      </c>
      <c r="BJ84" s="281">
        <f>IF(AC84&gt;0,Standing!$C$26*0.65,0)</f>
        <v>0</v>
      </c>
      <c r="BK84" s="282">
        <f>IF(AC84&gt;0,Standing!$C$26*0.5,0)</f>
        <v>0</v>
      </c>
      <c r="BL84" s="283">
        <f>IF(AC84&gt;0,Standing!$C$32*0.66,0)</f>
        <v>0</v>
      </c>
      <c r="BM84" s="281">
        <f>IF(AC84&gt;0,Standing!$C$32*0.85,0)</f>
        <v>0</v>
      </c>
      <c r="BN84" s="284">
        <f t="shared" si="9"/>
        <v>0</v>
      </c>
      <c r="BO84" s="282">
        <f>IF(AC84&gt;0,Standing!$C$32*0.45,0)</f>
        <v>0</v>
      </c>
      <c r="BP84" s="280">
        <f>IF(AC84&gt;0,Standing!$C$32*0.45,0)</f>
        <v>0</v>
      </c>
      <c r="BQ84" s="281">
        <f>IF(AC84&gt;0,Standing!$C$32*0.66,0)</f>
        <v>0</v>
      </c>
      <c r="BR84" s="282">
        <f>IF(AC84&gt;0,Standing!$C$32*0.33,0)</f>
        <v>0</v>
      </c>
      <c r="BS84" s="283">
        <f>IF(AC84&gt;0,Standing!$C$32*0.33,0)</f>
        <v>0</v>
      </c>
      <c r="BT84" s="284">
        <f>IF(AC84&gt;0,Standing!$C$32*0.45,0)</f>
        <v>0</v>
      </c>
      <c r="BU84" s="280">
        <f>IF(AC84&gt;0,Standing!$C$36*0.9,0)</f>
        <v>0</v>
      </c>
      <c r="BV84" s="281">
        <f>IF(AC84&gt;0,Standing!$C$36*0.45,0)</f>
        <v>0</v>
      </c>
      <c r="BW84" s="282">
        <f>IF(AC84&gt;0,Standing!$C$126*0.66,0)</f>
        <v>0</v>
      </c>
      <c r="BX84" s="283">
        <f>IF(AC84&gt;0,Standing!$C$126*0.66,0)</f>
        <v>0</v>
      </c>
      <c r="BY84" s="284">
        <f>IF(AC84&gt;0,Standing!$C$126*0.4,0)</f>
        <v>0</v>
      </c>
      <c r="BZ84" s="280">
        <f>IF(AC84&gt;0,Standing!$C$126*0.33,0)</f>
        <v>0</v>
      </c>
      <c r="CA84" s="281">
        <f>IF(AC84&gt;0,Standing!$C$132,0)</f>
        <v>0</v>
      </c>
      <c r="CB84" s="282">
        <f>IF(AC84&gt;0,Standing!$C$132*0.66,0)</f>
        <v>0</v>
      </c>
      <c r="CC84" s="283">
        <f>IF(AC84&gt;0,Standing!$C$132*0.5,0)</f>
        <v>0</v>
      </c>
      <c r="CD84" s="284">
        <f>IF(AC84&gt;0,Standing!$C$132*0.5,0)</f>
        <v>0</v>
      </c>
      <c r="CE84" s="280">
        <f>IF(AC84&gt;0,Standing!$C$132*0.5,0)</f>
        <v>0</v>
      </c>
      <c r="CF84" s="281">
        <f>IF(AC84&gt;0,Standing!$C$132*0.66,0)</f>
        <v>0</v>
      </c>
      <c r="CG84" s="282">
        <f>IF(AC84&gt;0,Standing!$C$132*0.5,0)</f>
        <v>0</v>
      </c>
      <c r="CH84" s="283">
        <f>IF(AC84&gt;0,Standing!$C$132*0.5,0)</f>
        <v>0</v>
      </c>
      <c r="CI84" s="284">
        <f>IF(AC84&gt;0,Standing!$C$132*0.5,0)</f>
        <v>0</v>
      </c>
      <c r="CJ84" s="280">
        <f>IF(AC84&gt;0,Standing!$C$132*0.5,0)</f>
        <v>0</v>
      </c>
      <c r="CK84" s="281">
        <f>IF(AC84&gt;0,Standing!$C$126*0.55,0)</f>
        <v>0</v>
      </c>
      <c r="CL84" s="282">
        <f>IF(AC84&gt;0,Standing!$C$126,0)</f>
        <v>0</v>
      </c>
      <c r="CM84" s="283">
        <f>IF(AC84&gt;0,Standing!$C$126*0.9,0)</f>
        <v>0</v>
      </c>
      <c r="CN84" s="284">
        <f>IF(AC84&gt;0,Standing!$C$126*0.33,0)</f>
        <v>0</v>
      </c>
      <c r="CO84" s="280">
        <f>IF(AC84&gt;0,Standing!$C$126*0.4,0)</f>
        <v>0</v>
      </c>
      <c r="CP84" s="281">
        <f>IF(AC84&gt;0,Standing!$C$26*0.33,0)</f>
        <v>0</v>
      </c>
      <c r="CQ84" s="282">
        <f>IF(AC84&gt;0,Standing!$C$26*0.2,0)</f>
        <v>0</v>
      </c>
      <c r="CR84" s="283">
        <f>IF(AC84&gt;0,Standing!$C$26*0.25,0)</f>
        <v>0</v>
      </c>
      <c r="CS84" s="285">
        <f>IF(AC84&gt;0,Standing!$C$26*0.2,0)</f>
        <v>0</v>
      </c>
      <c r="CT84" s="286"/>
      <c r="CU84" s="286" t="s">
        <v>28</v>
      </c>
    </row>
    <row r="85" ht="15.75" customHeight="1">
      <c r="A85" s="51"/>
      <c r="B85" s="296" t="s">
        <v>540</v>
      </c>
      <c r="C85" s="189">
        <f>IF(BO136&gt;2,BO136,2)</f>
        <v>2</v>
      </c>
      <c r="D85" s="218">
        <f t="shared" si="3"/>
        <v>0.6366182837</v>
      </c>
      <c r="E85" s="190">
        <f t="shared" si="4"/>
        <v>50.8</v>
      </c>
      <c r="F85" s="122">
        <f t="shared" si="5"/>
        <v>16.17010441</v>
      </c>
      <c r="G85" s="123">
        <f>C85/Introduction!$I$20</f>
        <v>0.02083333333</v>
      </c>
      <c r="H85" s="192">
        <f t="shared" si="6"/>
        <v>0.006631440455</v>
      </c>
      <c r="I85" s="124">
        <f>E85/Introduction!$I$20</f>
        <v>0.5291666667</v>
      </c>
      <c r="J85" s="125">
        <f t="shared" si="7"/>
        <v>0.1684385876</v>
      </c>
      <c r="K85" s="51"/>
      <c r="L85" s="51"/>
      <c r="M85" s="51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286"/>
      <c r="AB85" s="286" t="s">
        <v>29</v>
      </c>
      <c r="AC85" s="287">
        <f>IF('Ship Data Imperial'!E86&gt;0,'Ship Data Imperial'!E86,AD85)</f>
        <v>0</v>
      </c>
      <c r="AD85" s="287">
        <f>'Ship Data Metric'!E86*0.03280839895</f>
        <v>0</v>
      </c>
      <c r="AE85" s="284">
        <f>IF(AC85&gt;0,Standing!$C$75*0.65,0)</f>
        <v>0</v>
      </c>
      <c r="AF85" s="280">
        <f>IF(AC85&gt;0,Standing!$C$75*0.33,0)</f>
        <v>0</v>
      </c>
      <c r="AG85" s="281">
        <f>IF(AC85&gt;0,Standing!$C$75*0.2,0)</f>
        <v>0</v>
      </c>
      <c r="AH85" s="282">
        <f>IF(AC85&gt;0,Standing!$C$75*0.5,0)</f>
        <v>0</v>
      </c>
      <c r="AI85" s="283">
        <f>IF(AC85&gt;0,Standing!$C$75*0.2,0)</f>
        <v>0</v>
      </c>
      <c r="AJ85" s="284">
        <f>IF(AC85&gt;0,Standing!$C$75*0.25,0)</f>
        <v>0</v>
      </c>
      <c r="AK85" s="281">
        <f>IF(AC85&gt;0,Standing!$C$81*0.8,0)</f>
        <v>0</v>
      </c>
      <c r="AL85" s="282">
        <f t="shared" si="8"/>
        <v>0</v>
      </c>
      <c r="AM85" s="283">
        <f>IF(AC85&gt;0,Standing!$C$81*0.45,0)</f>
        <v>0</v>
      </c>
      <c r="AN85" s="284">
        <f>IF(AC85&gt;0,Standing!$C$81*0.55,0)</f>
        <v>0</v>
      </c>
      <c r="AO85" s="280">
        <f>IF(AC85&gt;0,Standing!$C$81*0.36,0)</f>
        <v>0</v>
      </c>
      <c r="AP85" s="281">
        <f>IF(AC85&gt;0,Standing!$C$81*0.9,0)</f>
        <v>0</v>
      </c>
      <c r="AQ85" s="282">
        <f>IF(AC85&gt;0,Standing!$C$85*0.9,0)</f>
        <v>0</v>
      </c>
      <c r="AR85" s="283">
        <f>IF(AC85&gt;0,Standing!$C$85*0.5,0)</f>
        <v>0</v>
      </c>
      <c r="AS85" s="284">
        <f>IF(AC85&gt;0,Standing!$C$85*0.55,0)</f>
        <v>0</v>
      </c>
      <c r="AT85" s="280">
        <f>IF(AC85&gt;0,Standing!$C$85*0.66,0)</f>
        <v>0</v>
      </c>
      <c r="AU85" s="281">
        <f>IF(AC85&gt;0,Standing!$C$75*0.25,0)</f>
        <v>0</v>
      </c>
      <c r="AV85" s="282">
        <f>IF(AC85&gt;0,Standing!$C$75*0.2,0)</f>
        <v>0</v>
      </c>
      <c r="AW85" s="283">
        <f>IF(AC85&gt;0,Standing!$C$26*0.33,0)</f>
        <v>0</v>
      </c>
      <c r="AX85" s="284">
        <f>IF(AC85&gt;0,Standing!$C$26*0.2,0)</f>
        <v>0</v>
      </c>
      <c r="AY85" s="280">
        <f>IF(AC85&gt;0,Standing!$C$26*0.25,0)</f>
        <v>0</v>
      </c>
      <c r="AZ85" s="281">
        <f>IF(AC85&gt;0,Standing!$C$26*0.33,0)</f>
        <v>0</v>
      </c>
      <c r="BA85" s="282">
        <f>IF(AC85&gt;0,Standing!$C$26*0.15,0)</f>
        <v>0</v>
      </c>
      <c r="BB85" s="283">
        <f>IF(AC85&gt;0,Standing!$C$26*0.125,0)</f>
        <v>0</v>
      </c>
      <c r="BC85" s="284">
        <f>IF(AC85&gt;0,Standing!$C$32*0.33,0)</f>
        <v>0</v>
      </c>
      <c r="BD85" s="280">
        <f>IF(AC85&gt;0,Standing!$C$32*0.5,0)</f>
        <v>0</v>
      </c>
      <c r="BE85" s="281">
        <f>IF(AC85&gt;0,Standing!$C$32*0.33,0)</f>
        <v>0</v>
      </c>
      <c r="BF85" s="282">
        <f>IF(AC85&gt;0,Standing!$C$32*0.33,0)</f>
        <v>0</v>
      </c>
      <c r="BG85" s="283">
        <f>IF(AC85&gt;0,Standing!$C$32*0.3,0)</f>
        <v>0</v>
      </c>
      <c r="BH85" s="284">
        <f>IF(AC85&gt;0,Standing!$C$32*0.4,0)</f>
        <v>0</v>
      </c>
      <c r="BI85" s="280">
        <f>IF(AC85&gt;0,Standing!$C$26*0.75,0)</f>
        <v>0</v>
      </c>
      <c r="BJ85" s="281">
        <f>IF(AC85&gt;0,Standing!$C$26*0.65,0)</f>
        <v>0</v>
      </c>
      <c r="BK85" s="282">
        <f>IF(AC85&gt;0,Standing!$C$26*0.5,0)</f>
        <v>0</v>
      </c>
      <c r="BL85" s="283">
        <f>IF(AC85&gt;0,Standing!$C$32*0.66,0)</f>
        <v>0</v>
      </c>
      <c r="BM85" s="281">
        <f>IF(AC85&gt;0,Standing!$C$32*0.85,0)</f>
        <v>0</v>
      </c>
      <c r="BN85" s="284">
        <f t="shared" si="9"/>
        <v>0</v>
      </c>
      <c r="BO85" s="282">
        <f>IF(AC85&gt;0,Standing!$C$32*0.45,0)</f>
        <v>0</v>
      </c>
      <c r="BP85" s="280">
        <f>IF(AC85&gt;0,Standing!$C$32*0.45,0)</f>
        <v>0</v>
      </c>
      <c r="BQ85" s="281">
        <f>IF(AC85&gt;0,Standing!$C$32*0.66,0)</f>
        <v>0</v>
      </c>
      <c r="BR85" s="282">
        <f>IF(AC85&gt;0,Standing!$C$32*0.33,0)</f>
        <v>0</v>
      </c>
      <c r="BS85" s="283">
        <f>IF(AC85&gt;0,Standing!$C$32*0.375,0)</f>
        <v>0</v>
      </c>
      <c r="BT85" s="284">
        <f>IF(AC85&gt;0,Standing!$C$32*0.45,0)</f>
        <v>0</v>
      </c>
      <c r="BU85" s="280">
        <f>IF(AC85&gt;0,Standing!$C$36*0.9,0)</f>
        <v>0</v>
      </c>
      <c r="BV85" s="281">
        <f>IF(AC85&gt;0,Standing!$C$36*0.45,0)</f>
        <v>0</v>
      </c>
      <c r="BW85" s="282">
        <f>IF(AC85&gt;0,Standing!$C$126*0.66,0)</f>
        <v>0</v>
      </c>
      <c r="BX85" s="283">
        <f>IF(AC85&gt;0,Standing!$C$126*0.66,0)</f>
        <v>0</v>
      </c>
      <c r="BY85" s="284">
        <f>IF(AC85&gt;0,Standing!$C$126*0.4,0)</f>
        <v>0</v>
      </c>
      <c r="BZ85" s="280">
        <f>IF(AC85&gt;0,Standing!$C$126*0.33,0)</f>
        <v>0</v>
      </c>
      <c r="CA85" s="281">
        <f>IF(AC85&gt;0,Standing!$C$132,0)</f>
        <v>0</v>
      </c>
      <c r="CB85" s="282">
        <f>IF(AC85&gt;0,Standing!$C$132*0.66,0)</f>
        <v>0</v>
      </c>
      <c r="CC85" s="283">
        <f>IF(AC85&gt;0,Standing!$C$132*0.5,0)</f>
        <v>0</v>
      </c>
      <c r="CD85" s="284">
        <f>IF(AC85&gt;0,Standing!$C$132*0.5,0)</f>
        <v>0</v>
      </c>
      <c r="CE85" s="280">
        <f>IF(AC85&gt;0,Standing!$C$132*0.5,0)</f>
        <v>0</v>
      </c>
      <c r="CF85" s="281">
        <f>IF(AC85&gt;0,Standing!$C$132*0.66,0)</f>
        <v>0</v>
      </c>
      <c r="CG85" s="282">
        <f>IF(AC85&gt;0,Standing!$C$132*0.5,0)</f>
        <v>0</v>
      </c>
      <c r="CH85" s="283">
        <f>IF(AC85&gt;0,Standing!$C$132*0.5,0)</f>
        <v>0</v>
      </c>
      <c r="CI85" s="284">
        <f>IF(AC85&gt;0,Standing!$C$132*0.5,0)</f>
        <v>0</v>
      </c>
      <c r="CJ85" s="280">
        <f>IF(AC85&gt;0,Standing!$C$132*0.5,0)</f>
        <v>0</v>
      </c>
      <c r="CK85" s="281">
        <f>IF(AC85&gt;0,Standing!$C$126*0.55,0)</f>
        <v>0</v>
      </c>
      <c r="CL85" s="282">
        <f>IF(AC85&gt;0,Standing!$C$126,0)</f>
        <v>0</v>
      </c>
      <c r="CM85" s="283">
        <f>IF(AC85&gt;0,Standing!$C$126*0.9,0)</f>
        <v>0</v>
      </c>
      <c r="CN85" s="284">
        <f>IF(AC85&gt;0,Standing!$C$126*0.33,0)</f>
        <v>0</v>
      </c>
      <c r="CO85" s="280">
        <f>IF(AC85&gt;0,Standing!$C$126*0.4,0)</f>
        <v>0</v>
      </c>
      <c r="CP85" s="281">
        <f>IF(AC85&gt;0,Standing!$C$26*0.33,0)</f>
        <v>0</v>
      </c>
      <c r="CQ85" s="282">
        <f>IF(AC85&gt;0,Standing!$C$26*0.2,0)</f>
        <v>0</v>
      </c>
      <c r="CR85" s="283">
        <f>IF(AC85&gt;0,Standing!$C$26*0.25,0)</f>
        <v>0</v>
      </c>
      <c r="CS85" s="285">
        <f>IF(AC85&gt;0,Standing!$C$26*0.2,0)</f>
        <v>0</v>
      </c>
      <c r="CT85" s="286"/>
      <c r="CU85" s="286" t="s">
        <v>29</v>
      </c>
    </row>
    <row r="86" ht="15.75" customHeight="1">
      <c r="A86" s="51"/>
      <c r="B86" s="296" t="s">
        <v>541</v>
      </c>
      <c r="C86" s="189">
        <f>BQ136</f>
        <v>1.944856299</v>
      </c>
      <c r="D86" s="218">
        <f t="shared" si="3"/>
        <v>0.6190655396</v>
      </c>
      <c r="E86" s="190">
        <f t="shared" si="4"/>
        <v>49.39935</v>
      </c>
      <c r="F86" s="122">
        <f t="shared" si="5"/>
        <v>15.72426471</v>
      </c>
      <c r="G86" s="123">
        <f>C86/Introduction!$I$20</f>
        <v>0.02025891978</v>
      </c>
      <c r="H86" s="192">
        <f t="shared" si="6"/>
        <v>0.006448599371</v>
      </c>
      <c r="I86" s="124">
        <f>E86/Introduction!$I$20</f>
        <v>0.5145765625</v>
      </c>
      <c r="J86" s="125">
        <f t="shared" si="7"/>
        <v>0.163794424</v>
      </c>
      <c r="K86" s="51"/>
      <c r="L86" s="51"/>
      <c r="M86" s="51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286">
        <v>1773.0</v>
      </c>
      <c r="AB86" s="286" t="s">
        <v>24</v>
      </c>
      <c r="AC86" s="287">
        <f>IF('Ship Data Imperial'!E87&gt;0,'Ship Data Imperial'!E87,AD86)</f>
        <v>0</v>
      </c>
      <c r="AD86" s="287">
        <f>'Ship Data Metric'!E87*0.03280839895</f>
        <v>0</v>
      </c>
      <c r="AE86" s="284">
        <f>IF(AC86&gt;0,Standing!$C$75*0.45,0)</f>
        <v>0</v>
      </c>
      <c r="AF86" s="280">
        <f>IF(AC86&gt;0,Standing!$C$75*0.25,0)</f>
        <v>0</v>
      </c>
      <c r="AG86" s="281">
        <f>IF(AC86&gt;0,Standing!$C$75*0.165,0)</f>
        <v>0</v>
      </c>
      <c r="AH86" s="282">
        <f>IF(AC86&gt;0,Standing!$C$75*0.5,0)</f>
        <v>0</v>
      </c>
      <c r="AI86" s="283">
        <f>IF(AC86&gt;0,Standing!$C$75*0.16,0)</f>
        <v>0</v>
      </c>
      <c r="AJ86" s="284">
        <f>IF(AC86&gt;0,Standing!$C$75*0.2,0)</f>
        <v>0</v>
      </c>
      <c r="AK86" s="281">
        <f>IF(AC86&gt;0,Standing!$C$81*0.66,0)</f>
        <v>0</v>
      </c>
      <c r="AL86" s="282">
        <f t="shared" si="8"/>
        <v>0</v>
      </c>
      <c r="AM86" s="283">
        <f>IF(AC86&gt;0,Standing!$C$81*0.45,0)</f>
        <v>0</v>
      </c>
      <c r="AN86" s="284">
        <f>IF(AC86&gt;0,Standing!$C$81*0.55,0)</f>
        <v>0</v>
      </c>
      <c r="AO86" s="280">
        <f>IF(AC86&gt;0,Standing!$C$81*0.36,0)</f>
        <v>0</v>
      </c>
      <c r="AP86" s="281">
        <f>IF(AC86&gt;0,Standing!$C$81,0)</f>
        <v>0</v>
      </c>
      <c r="AQ86" s="282">
        <f>IF(AC86&gt;0,Standing!$C$85*0.9,0)</f>
        <v>0</v>
      </c>
      <c r="AR86" s="283">
        <f>IF(AC86&gt;0,Standing!$C$85*0.5,0)</f>
        <v>0</v>
      </c>
      <c r="AS86" s="284">
        <f>IF(AC86&gt;0,Standing!$C$85*0.55,0)</f>
        <v>0</v>
      </c>
      <c r="AT86" s="280">
        <f>IF(AC86&gt;0,Standing!$C$85*0.66,0)</f>
        <v>0</v>
      </c>
      <c r="AU86" s="281">
        <f>IF(AC86&gt;0,Standing!$C$75*0.2,0)</f>
        <v>0</v>
      </c>
      <c r="AV86" s="282">
        <f>IF(AC86&gt;0,Standing!$C$75*0.2,0)</f>
        <v>0</v>
      </c>
      <c r="AW86" s="283">
        <f>IF(AC86&gt;0,Standing!$C$26*0.33,0)</f>
        <v>0</v>
      </c>
      <c r="AX86" s="284">
        <f>IF(AC86&gt;0,Standing!$C$26*0.2,0)</f>
        <v>0</v>
      </c>
      <c r="AY86" s="280">
        <f>IF(AC86&gt;0,Standing!$C$26*0.25,0)</f>
        <v>0</v>
      </c>
      <c r="AZ86" s="281">
        <f>IF(AC86&gt;0,Standing!$C$26*0.33,0)</f>
        <v>0</v>
      </c>
      <c r="BA86" s="282">
        <f>IF(AC86&gt;0,Standing!$C$26*0.15,0)</f>
        <v>0</v>
      </c>
      <c r="BB86" s="283">
        <f>IF(AC86&gt;0,Standing!$C$26*0.125,0)</f>
        <v>0</v>
      </c>
      <c r="BC86" s="284">
        <f>IF(AC86&gt;0,Standing!$C$32*0.33,0)</f>
        <v>0</v>
      </c>
      <c r="BD86" s="280">
        <f>IF(AC86&gt;0,Standing!$C$32*0.5,0)</f>
        <v>0</v>
      </c>
      <c r="BE86" s="281">
        <f>IF(AC86&gt;0,Standing!$C$32*0.33,0)</f>
        <v>0</v>
      </c>
      <c r="BF86" s="282">
        <f>IF(AC86&gt;0,Standing!$C$32*0.33,0)</f>
        <v>0</v>
      </c>
      <c r="BG86" s="283">
        <f>IF(AC86&gt;0,Standing!$C$32*0.25,0)</f>
        <v>0</v>
      </c>
      <c r="BH86" s="284">
        <f>IF(AC86&gt;0,Standing!$C$32*0.33,0)</f>
        <v>0</v>
      </c>
      <c r="BI86" s="280">
        <f>IF(AC86&gt;0,Standing!$C$26*0.5,0)</f>
        <v>0</v>
      </c>
      <c r="BJ86" s="281">
        <f>IF(AC86&gt;0,Standing!$C$26*0.45,0)</f>
        <v>0</v>
      </c>
      <c r="BK86" s="282">
        <f>IF(AC86&gt;0,Standing!$C$26*0.5,0)</f>
        <v>0</v>
      </c>
      <c r="BL86" s="283">
        <f>IF(AC86&gt;0,Standing!$C$32*0.66,0)</f>
        <v>0</v>
      </c>
      <c r="BM86" s="281">
        <f>IF(AC86&gt;0,Standing!$C$32*0.9,0)</f>
        <v>0</v>
      </c>
      <c r="BN86" s="284">
        <f t="shared" si="9"/>
        <v>0</v>
      </c>
      <c r="BO86" s="282">
        <f>IF(AC86&gt;0,Standing!$C$32*0.5,0)</f>
        <v>0</v>
      </c>
      <c r="BP86" s="280">
        <f>IF(AC86&gt;0,Standing!$C$32*0.45,0)</f>
        <v>0</v>
      </c>
      <c r="BQ86" s="281">
        <f>IF(AC86&gt;0,Standing!$C$32*0.66,0)</f>
        <v>0</v>
      </c>
      <c r="BR86" s="282">
        <f>IF(AC86&gt;0,Standing!$C$32*0.33,0)</f>
        <v>0</v>
      </c>
      <c r="BS86" s="283">
        <f>IF(AC86&gt;0,Standing!$C$32*0.33,0)</f>
        <v>0</v>
      </c>
      <c r="BT86" s="284">
        <f>IF(AC86&gt;0,Standing!$C$32*0.45,0)</f>
        <v>0</v>
      </c>
      <c r="BU86" s="280">
        <f>IF(AC86&gt;0,Standing!$C$36*0.9,0)</f>
        <v>0</v>
      </c>
      <c r="BV86" s="281">
        <f>IF(AC86&gt;0,Standing!$C$36*0.45,0)</f>
        <v>0</v>
      </c>
      <c r="BW86" s="282">
        <f>IF(AC86&gt;0,Standing!$C$126*0.66,0)</f>
        <v>0</v>
      </c>
      <c r="BX86" s="283">
        <f>IF(AC86&gt;0,Standing!$C$126*0.66,0)</f>
        <v>0</v>
      </c>
      <c r="BY86" s="284">
        <f>IF(AC86&gt;0,Standing!$C$126*0.4,0)</f>
        <v>0</v>
      </c>
      <c r="BZ86" s="280">
        <f>IF(AC86&gt;0,Standing!$C$126*0.33,0)</f>
        <v>0</v>
      </c>
      <c r="CA86" s="281">
        <f>IF(AC86&gt;0,Standing!$C$132*0.8,0)</f>
        <v>0</v>
      </c>
      <c r="CB86" s="282">
        <f>IF(AC86&gt;0,Standing!$C$132*0.66,0)</f>
        <v>0</v>
      </c>
      <c r="CC86" s="283">
        <f>IF(AC86&gt;0,Standing!$C$132*0.5,0)</f>
        <v>0</v>
      </c>
      <c r="CD86" s="284">
        <f>IF(AC86&gt;0,Standing!$C$132*0.5,0)</f>
        <v>0</v>
      </c>
      <c r="CE86" s="280">
        <f>IF(AC86&gt;0,Standing!$C$132*0.4,0)</f>
        <v>0</v>
      </c>
      <c r="CF86" s="281">
        <f>IF(AC86&gt;0,Standing!$C$132*0.66,0)</f>
        <v>0</v>
      </c>
      <c r="CG86" s="282">
        <f>IF(AC86&gt;0,Standing!$C$132*0.5,0)</f>
        <v>0</v>
      </c>
      <c r="CH86" s="283">
        <f>IF(AC86&gt;0,Standing!$C$132*0.5,0)</f>
        <v>0</v>
      </c>
      <c r="CI86" s="284">
        <f>IF(AC86&gt;0,Standing!$C$132*0.5,0)</f>
        <v>0</v>
      </c>
      <c r="CJ86" s="280">
        <f>IF(AC86&gt;0,Standing!$C$132*0.5,0)</f>
        <v>0</v>
      </c>
      <c r="CK86" s="281">
        <f>IF(AC86&gt;0,Standing!$C$126*0.55,0)</f>
        <v>0</v>
      </c>
      <c r="CL86" s="282">
        <f>IF(AC86&gt;0,Standing!$C$126,0)</f>
        <v>0</v>
      </c>
      <c r="CM86" s="283">
        <f>IF(AC86&gt;0,Standing!$C$126*0.9,0)</f>
        <v>0</v>
      </c>
      <c r="CN86" s="284">
        <f>IF(AC86&gt;0,Standing!$C$126*0.33,0)</f>
        <v>0</v>
      </c>
      <c r="CO86" s="280">
        <f>IF(AC86&gt;0,Standing!$C$126*0.4,0)</f>
        <v>0</v>
      </c>
      <c r="CP86" s="281">
        <f>IF(AC86&gt;0,Standing!$C$26*0.25,0)</f>
        <v>0</v>
      </c>
      <c r="CQ86" s="282">
        <f>IF(AC86&gt;0,Standing!$C$26*0.165,0)</f>
        <v>0</v>
      </c>
      <c r="CR86" s="283">
        <f>IF(AC86&gt;0,Standing!$C$26*0.2,0)</f>
        <v>0</v>
      </c>
      <c r="CS86" s="285">
        <f>IF(AC86&gt;0,Standing!$C$26*0.16,0)</f>
        <v>0</v>
      </c>
      <c r="CT86" s="286">
        <v>1773.0</v>
      </c>
      <c r="CU86" s="286" t="s">
        <v>24</v>
      </c>
    </row>
    <row r="87" ht="15.75" customHeight="1">
      <c r="A87" s="51"/>
      <c r="B87" s="296" t="s">
        <v>542</v>
      </c>
      <c r="C87" s="189">
        <f>IF(C86*0.66&gt;1.5,C86*0.66,1.5)</f>
        <v>1.5</v>
      </c>
      <c r="D87" s="218">
        <f t="shared" si="3"/>
        <v>0.4774637128</v>
      </c>
      <c r="E87" s="190">
        <f t="shared" si="4"/>
        <v>38.1</v>
      </c>
      <c r="F87" s="122">
        <f t="shared" si="5"/>
        <v>12.1275783</v>
      </c>
      <c r="G87" s="123">
        <f>C87/Introduction!$I$20</f>
        <v>0.015625</v>
      </c>
      <c r="H87" s="192">
        <f t="shared" si="6"/>
        <v>0.004973580341</v>
      </c>
      <c r="I87" s="124">
        <f>E87/Introduction!$I$20</f>
        <v>0.396875</v>
      </c>
      <c r="J87" s="125">
        <f t="shared" si="7"/>
        <v>0.1263289407</v>
      </c>
      <c r="K87" s="51"/>
      <c r="L87" s="51"/>
      <c r="M87" s="51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286"/>
      <c r="AB87" s="286" t="s">
        <v>25</v>
      </c>
      <c r="AC87" s="287">
        <f>IF('Ship Data Imperial'!E88&gt;0,'Ship Data Imperial'!E88,AD87)</f>
        <v>0</v>
      </c>
      <c r="AD87" s="287">
        <f>'Ship Data Metric'!E88*0.03280839895</f>
        <v>0</v>
      </c>
      <c r="AE87" s="284">
        <f>IF(AC87&gt;0,Standing!$C$75*0.45,0)</f>
        <v>0</v>
      </c>
      <c r="AF87" s="280">
        <f>IF(AC87&gt;0,Standing!$C$75*0.25,0)</f>
        <v>0</v>
      </c>
      <c r="AG87" s="281">
        <f>IF(AC87&gt;0,Standing!$C$75*0.165,0)</f>
        <v>0</v>
      </c>
      <c r="AH87" s="282">
        <f>IF(AC87&gt;0,Standing!$C$75*0.5,0)</f>
        <v>0</v>
      </c>
      <c r="AI87" s="283">
        <f>IF(AC87&gt;0,Standing!$C$75*0.16,0)</f>
        <v>0</v>
      </c>
      <c r="AJ87" s="284">
        <f>IF(AC87&gt;0,Standing!$C$75*0.2,0)</f>
        <v>0</v>
      </c>
      <c r="AK87" s="281">
        <f>IF(AC87&gt;0,Standing!$C$81*0.66,0)</f>
        <v>0</v>
      </c>
      <c r="AL87" s="282">
        <f t="shared" si="8"/>
        <v>0</v>
      </c>
      <c r="AM87" s="283">
        <f>IF(AC87&gt;0,Standing!$C$81*0.45,0)</f>
        <v>0</v>
      </c>
      <c r="AN87" s="284">
        <f>IF(AC87&gt;0,Standing!$C$81*0.55,0)</f>
        <v>0</v>
      </c>
      <c r="AO87" s="280">
        <f>IF(AC87&gt;0,Standing!$C$81*0.36,0)</f>
        <v>0</v>
      </c>
      <c r="AP87" s="281">
        <f>IF(AC87&gt;0,Standing!$C$81,0)</f>
        <v>0</v>
      </c>
      <c r="AQ87" s="282">
        <f>IF(AC87&gt;0,Standing!$C$85*0.9,0)</f>
        <v>0</v>
      </c>
      <c r="AR87" s="283">
        <f>IF(AC87&gt;0,Standing!$C$85*0.5,0)</f>
        <v>0</v>
      </c>
      <c r="AS87" s="284">
        <f>IF(AC87&gt;0,Standing!$C$85*0.55,0)</f>
        <v>0</v>
      </c>
      <c r="AT87" s="280">
        <f>IF(AC87&gt;0,Standing!$C$85*0.66,0)</f>
        <v>0</v>
      </c>
      <c r="AU87" s="281">
        <f>IF(AC87&gt;0,Standing!$C$75*0.2,0)</f>
        <v>0</v>
      </c>
      <c r="AV87" s="282">
        <f>IF(AC87&gt;0,Standing!$C$75*0.2,0)</f>
        <v>0</v>
      </c>
      <c r="AW87" s="283">
        <f>IF(AC87&gt;0,Standing!$C$26*0.33,0)</f>
        <v>0</v>
      </c>
      <c r="AX87" s="284">
        <f>IF(AC87&gt;0,Standing!$C$26*0.2,0)</f>
        <v>0</v>
      </c>
      <c r="AY87" s="280">
        <f>IF(AC87&gt;0,Standing!$C$26*0.25,0)</f>
        <v>0</v>
      </c>
      <c r="AZ87" s="281">
        <f>IF(AC87&gt;0,Standing!$C$26*0.33,0)</f>
        <v>0</v>
      </c>
      <c r="BA87" s="282">
        <f>IF(AC87&gt;0,Standing!$C$26*0.15,0)</f>
        <v>0</v>
      </c>
      <c r="BB87" s="283">
        <f>IF(AC87&gt;0,Standing!$C$26*0.125,0)</f>
        <v>0</v>
      </c>
      <c r="BC87" s="284">
        <f>IF(AC87&gt;0,Standing!$C$32*0.33,0)</f>
        <v>0</v>
      </c>
      <c r="BD87" s="280">
        <f>IF(AC87&gt;0,Standing!$C$32*0.5,0)</f>
        <v>0</v>
      </c>
      <c r="BE87" s="281">
        <f>IF(AC87&gt;0,Standing!$C$32*0.33,0)</f>
        <v>0</v>
      </c>
      <c r="BF87" s="282">
        <f>IF(AC87&gt;0,Standing!$C$32*0.33,0)</f>
        <v>0</v>
      </c>
      <c r="BG87" s="283">
        <f>IF(AC87&gt;0,Standing!$C$32*0.25,0)</f>
        <v>0</v>
      </c>
      <c r="BH87" s="284">
        <f>IF(AC87&gt;0,Standing!$C$32*0.33,0)</f>
        <v>0</v>
      </c>
      <c r="BI87" s="280">
        <f>IF(AC87&gt;0,Standing!$C$26*0.5,0)</f>
        <v>0</v>
      </c>
      <c r="BJ87" s="281">
        <f>IF(AC87&gt;0,Standing!$C$26*0.45,0)</f>
        <v>0</v>
      </c>
      <c r="BK87" s="282">
        <f>IF(AC87&gt;0,Standing!$C$26*0.5,0)</f>
        <v>0</v>
      </c>
      <c r="BL87" s="283">
        <f>IF(AC87&gt;0,Standing!$C$32*0.66,0)</f>
        <v>0</v>
      </c>
      <c r="BM87" s="281">
        <f>IF(AC87&gt;0,Standing!$C$32*0.9,0)</f>
        <v>0</v>
      </c>
      <c r="BN87" s="284">
        <f t="shared" si="9"/>
        <v>0</v>
      </c>
      <c r="BO87" s="282">
        <f>IF(AC87&gt;0,Standing!$C$32*0.5,0)</f>
        <v>0</v>
      </c>
      <c r="BP87" s="280">
        <f>IF(AC87&gt;0,Standing!$C$32*0.45,0)</f>
        <v>0</v>
      </c>
      <c r="BQ87" s="281">
        <f>IF(AC87&gt;0,Standing!$C$32*0.66,0)</f>
        <v>0</v>
      </c>
      <c r="BR87" s="282">
        <f>IF(AC87&gt;0,Standing!$C$32*0.33,0)</f>
        <v>0</v>
      </c>
      <c r="BS87" s="283">
        <f>IF(AC87&gt;0,Standing!$C$32*0.33,0)</f>
        <v>0</v>
      </c>
      <c r="BT87" s="284">
        <f>IF(AC87&gt;0,Standing!$C$32*0.45,0)</f>
        <v>0</v>
      </c>
      <c r="BU87" s="280">
        <f>IF(AC87&gt;0,Standing!$C$36*0.9,0)</f>
        <v>0</v>
      </c>
      <c r="BV87" s="281">
        <f>IF(AC87&gt;0,Standing!$C$36*0.45,0)</f>
        <v>0</v>
      </c>
      <c r="BW87" s="282">
        <f>IF(AC87&gt;0,Standing!$C$126*0.66,0)</f>
        <v>0</v>
      </c>
      <c r="BX87" s="283">
        <f>IF(AC87&gt;0,Standing!$C$126*0.66,0)</f>
        <v>0</v>
      </c>
      <c r="BY87" s="284">
        <f>IF(AC87&gt;0,Standing!$C$126*0.4,0)</f>
        <v>0</v>
      </c>
      <c r="BZ87" s="280">
        <f>IF(AC87&gt;0,Standing!$C$126*0.33,0)</f>
        <v>0</v>
      </c>
      <c r="CA87" s="281">
        <f>IF(AC87&gt;0,Standing!$C$132*0.8,0)</f>
        <v>0</v>
      </c>
      <c r="CB87" s="282">
        <f>IF(AC87&gt;0,Standing!$C$132*0.66,0)</f>
        <v>0</v>
      </c>
      <c r="CC87" s="283">
        <f>IF(AC87&gt;0,Standing!$C$132*0.5,0)</f>
        <v>0</v>
      </c>
      <c r="CD87" s="284">
        <f>IF(AC87&gt;0,Standing!$C$132*0.5,0)</f>
        <v>0</v>
      </c>
      <c r="CE87" s="280">
        <f>IF(AC87&gt;0,Standing!$C$132*0.4,0)</f>
        <v>0</v>
      </c>
      <c r="CF87" s="281">
        <f>IF(AC87&gt;0,Standing!$C$132*0.66,0)</f>
        <v>0</v>
      </c>
      <c r="CG87" s="282">
        <f>IF(AC87&gt;0,Standing!$C$132*0.5,0)</f>
        <v>0</v>
      </c>
      <c r="CH87" s="283">
        <f>IF(AC87&gt;0,Standing!$C$132*0.5,0)</f>
        <v>0</v>
      </c>
      <c r="CI87" s="284">
        <f>IF(AC87&gt;0,Standing!$C$132*0.5,0)</f>
        <v>0</v>
      </c>
      <c r="CJ87" s="280">
        <f>IF(AC87&gt;0,Standing!$C$132*0.5,0)</f>
        <v>0</v>
      </c>
      <c r="CK87" s="281">
        <f>IF(AC87&gt;0,Standing!$C$126*0.55,0)</f>
        <v>0</v>
      </c>
      <c r="CL87" s="282">
        <f>IF(AC87&gt;0,Standing!$C$126,0)</f>
        <v>0</v>
      </c>
      <c r="CM87" s="283">
        <f>IF(AC87&gt;0,Standing!$C$126*0.9,0)</f>
        <v>0</v>
      </c>
      <c r="CN87" s="284">
        <f>IF(AC87&gt;0,Standing!$C$126*0.33,0)</f>
        <v>0</v>
      </c>
      <c r="CO87" s="280">
        <f>IF(AC87&gt;0,Standing!$C$126*0.4,0)</f>
        <v>0</v>
      </c>
      <c r="CP87" s="281">
        <f>IF(AC87&gt;0,Standing!$C$26*0.25,0)</f>
        <v>0</v>
      </c>
      <c r="CQ87" s="282">
        <f>IF(AC87&gt;0,Standing!$C$26*0.165,0)</f>
        <v>0</v>
      </c>
      <c r="CR87" s="283">
        <f>IF(AC87&gt;0,Standing!$C$26*0.2,0)</f>
        <v>0</v>
      </c>
      <c r="CS87" s="285">
        <f>IF(AC87&gt;0,Standing!$C$26*0.16,0)</f>
        <v>0</v>
      </c>
      <c r="CT87" s="286"/>
      <c r="CU87" s="286" t="s">
        <v>25</v>
      </c>
    </row>
    <row r="88" ht="15.75" customHeight="1">
      <c r="A88" s="51"/>
      <c r="B88" s="296" t="s">
        <v>543</v>
      </c>
      <c r="C88" s="189">
        <f>BR136</f>
        <v>0.9724281496</v>
      </c>
      <c r="D88" s="218">
        <f t="shared" si="3"/>
        <v>0.3095327698</v>
      </c>
      <c r="E88" s="190">
        <f t="shared" si="4"/>
        <v>24.699675</v>
      </c>
      <c r="F88" s="122">
        <f t="shared" si="5"/>
        <v>7.862132353</v>
      </c>
      <c r="G88" s="123">
        <f>C88/Introduction!$I$20</f>
        <v>0.01012945989</v>
      </c>
      <c r="H88" s="192">
        <f t="shared" si="6"/>
        <v>0.003224299685</v>
      </c>
      <c r="I88" s="124">
        <f>E88/Introduction!$I$20</f>
        <v>0.2572882812</v>
      </c>
      <c r="J88" s="125">
        <f t="shared" si="7"/>
        <v>0.08189721201</v>
      </c>
      <c r="K88" s="51"/>
      <c r="L88" s="51"/>
      <c r="M88" s="51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286"/>
      <c r="AB88" s="286" t="s">
        <v>26</v>
      </c>
      <c r="AC88" s="287">
        <f>IF('Ship Data Imperial'!E89&gt;0,'Ship Data Imperial'!E89,AD88)</f>
        <v>0</v>
      </c>
      <c r="AD88" s="287">
        <f>'Ship Data Metric'!E89*0.03280839895</f>
        <v>0</v>
      </c>
      <c r="AE88" s="284">
        <f>IF(AC88&gt;0,Standing!$C$75*0.45,0)</f>
        <v>0</v>
      </c>
      <c r="AF88" s="280">
        <f>IF(AC88&gt;0,Standing!$C$75*0.25,0)</f>
        <v>0</v>
      </c>
      <c r="AG88" s="281">
        <f>IF(AC88&gt;0,Standing!$C$75*0.2,0)</f>
        <v>0</v>
      </c>
      <c r="AH88" s="282">
        <f>IF(AC88&gt;0,Standing!$C$75*0.5,0)</f>
        <v>0</v>
      </c>
      <c r="AI88" s="283">
        <f>IF(AC88&gt;0,Standing!$C$75*0.2,0)</f>
        <v>0</v>
      </c>
      <c r="AJ88" s="284">
        <f>IF(AC88&gt;0,Standing!$C$75*0.25,0)</f>
        <v>0</v>
      </c>
      <c r="AK88" s="281">
        <f>IF(AC88&gt;0,Standing!$C$81*0.8,0)</f>
        <v>0</v>
      </c>
      <c r="AL88" s="282">
        <f t="shared" si="8"/>
        <v>0</v>
      </c>
      <c r="AM88" s="283">
        <f>IF(AC88&gt;0,Standing!$C$81*0.45,0)</f>
        <v>0</v>
      </c>
      <c r="AN88" s="284">
        <f>IF(AC88&gt;0,Standing!$C$81*0.55,0)</f>
        <v>0</v>
      </c>
      <c r="AO88" s="280">
        <f>IF(AC88&gt;0,Standing!$C$81*0.36,0)</f>
        <v>0</v>
      </c>
      <c r="AP88" s="281">
        <f>IF(AC88&gt;0,Standing!$C$81*0.9,0)</f>
        <v>0</v>
      </c>
      <c r="AQ88" s="282">
        <f>IF(AC88&gt;0,Standing!$C$85*0.9,0)</f>
        <v>0</v>
      </c>
      <c r="AR88" s="283">
        <f>IF(AC88&gt;0,Standing!$C$85*0.5,0)</f>
        <v>0</v>
      </c>
      <c r="AS88" s="284">
        <f>IF(AC88&gt;0,Standing!$C$85*0.55,0)</f>
        <v>0</v>
      </c>
      <c r="AT88" s="280">
        <f>IF(AC88&gt;0,Standing!$C$85*0.66,0)</f>
        <v>0</v>
      </c>
      <c r="AU88" s="281">
        <f>IF(AC88&gt;0,Standing!$C$75*0.2,0)</f>
        <v>0</v>
      </c>
      <c r="AV88" s="282">
        <f>IF(AC88&gt;0,Standing!$C$75*0.2,0)</f>
        <v>0</v>
      </c>
      <c r="AW88" s="283">
        <f>IF(AC88&gt;0,Standing!$C$26*0.33,0)</f>
        <v>0</v>
      </c>
      <c r="AX88" s="284">
        <f>IF(AC88&gt;0,Standing!$C$26*0.2,0)</f>
        <v>0</v>
      </c>
      <c r="AY88" s="280">
        <f>IF(AC88&gt;0,Standing!$C$26*0.25,0)</f>
        <v>0</v>
      </c>
      <c r="AZ88" s="281">
        <f>IF(AC88&gt;0,Standing!$C$26*0.33,0)</f>
        <v>0</v>
      </c>
      <c r="BA88" s="282">
        <f>IF(AC88&gt;0,Standing!$C$26*0.15,0)</f>
        <v>0</v>
      </c>
      <c r="BB88" s="283">
        <f>IF(AC88&gt;0,Standing!$C$26*0.125,0)</f>
        <v>0</v>
      </c>
      <c r="BC88" s="284">
        <f>IF(AC88&gt;0,Standing!$C$32*0.33,0)</f>
        <v>0</v>
      </c>
      <c r="BD88" s="280">
        <f>IF(AC88&gt;0,Standing!$C$32*0.5,0)</f>
        <v>0</v>
      </c>
      <c r="BE88" s="281">
        <f>IF(AC88&gt;0,Standing!$C$32*0.33,0)</f>
        <v>0</v>
      </c>
      <c r="BF88" s="282">
        <f>IF(AC88&gt;0,Standing!$C$32*0.33,0)</f>
        <v>0</v>
      </c>
      <c r="BG88" s="283">
        <f>IF(AC88&gt;0,Standing!$C$32*0.25,0)</f>
        <v>0</v>
      </c>
      <c r="BH88" s="284">
        <f>IF(AC88&gt;0,Standing!$C$32*0.4,0)</f>
        <v>0</v>
      </c>
      <c r="BI88" s="280">
        <f>IF(AC88&gt;0,Standing!$C$26*0.5,0)</f>
        <v>0</v>
      </c>
      <c r="BJ88" s="281">
        <f>IF(AC88&gt;0,Standing!$C$26*0.45,0)</f>
        <v>0</v>
      </c>
      <c r="BK88" s="282">
        <f>IF(AC88&gt;0,Standing!$C$26*0.5,0)</f>
        <v>0</v>
      </c>
      <c r="BL88" s="283">
        <f>IF(AC88&gt;0,Standing!$C$32*0.66,0)</f>
        <v>0</v>
      </c>
      <c r="BM88" s="281">
        <f>IF(AC88&gt;0,Standing!$C$32*0.85,0)</f>
        <v>0</v>
      </c>
      <c r="BN88" s="284">
        <f t="shared" si="9"/>
        <v>0</v>
      </c>
      <c r="BO88" s="282">
        <f>IF(AC88&gt;0,Standing!$C$32*0.5,0)</f>
        <v>0</v>
      </c>
      <c r="BP88" s="280">
        <f>IF(AC88&gt;0,Standing!$C$32*0.45,0)</f>
        <v>0</v>
      </c>
      <c r="BQ88" s="281">
        <f>IF(AC88&gt;0,Standing!$C$32*0.66,0)</f>
        <v>0</v>
      </c>
      <c r="BR88" s="282">
        <f>IF(AC88&gt;0,Standing!$C$32*0.33,0)</f>
        <v>0</v>
      </c>
      <c r="BS88" s="283">
        <f>IF(AC88&gt;0,Standing!$C$32*0.33,0)</f>
        <v>0</v>
      </c>
      <c r="BT88" s="284">
        <f>IF(AC88&gt;0,Standing!$C$32*0.45,0)</f>
        <v>0</v>
      </c>
      <c r="BU88" s="280">
        <f>IF(AC88&gt;0,Standing!$C$36*0.9,0)</f>
        <v>0</v>
      </c>
      <c r="BV88" s="281">
        <f>IF(AC88&gt;0,Standing!$C$36*0.45,0)</f>
        <v>0</v>
      </c>
      <c r="BW88" s="282">
        <f>IF(AC88&gt;0,Standing!$C$126*0.66,0)</f>
        <v>0</v>
      </c>
      <c r="BX88" s="283">
        <f>IF(AC88&gt;0,Standing!$C$126*0.66,0)</f>
        <v>0</v>
      </c>
      <c r="BY88" s="284">
        <f>IF(AC88&gt;0,Standing!$C$126*0.4,0)</f>
        <v>0</v>
      </c>
      <c r="BZ88" s="280">
        <f>IF(AC88&gt;0,Standing!$C$126*0.33,0)</f>
        <v>0</v>
      </c>
      <c r="CA88" s="281">
        <f>IF(AC88&gt;0,Standing!$C$132*0.8,0)</f>
        <v>0</v>
      </c>
      <c r="CB88" s="282">
        <f>IF(AC88&gt;0,Standing!$C$132*0.66,0)</f>
        <v>0</v>
      </c>
      <c r="CC88" s="283">
        <f>IF(AC88&gt;0,Standing!$C$132*0.5,0)</f>
        <v>0</v>
      </c>
      <c r="CD88" s="284">
        <f>IF(AC88&gt;0,Standing!$C$132*0.5,0)</f>
        <v>0</v>
      </c>
      <c r="CE88" s="280">
        <f>IF(AC88&gt;0,Standing!$C$132*0.4,0)</f>
        <v>0</v>
      </c>
      <c r="CF88" s="281">
        <f>IF(AC88&gt;0,Standing!$C$132*0.66,0)</f>
        <v>0</v>
      </c>
      <c r="CG88" s="282">
        <f>IF(AC88&gt;0,Standing!$C$132*0.5,0)</f>
        <v>0</v>
      </c>
      <c r="CH88" s="283">
        <f>IF(AC88&gt;0,Standing!$C$132*0.5,0)</f>
        <v>0</v>
      </c>
      <c r="CI88" s="284">
        <f>IF(AC88&gt;0,Standing!$C$132*0.5,0)</f>
        <v>0</v>
      </c>
      <c r="CJ88" s="280">
        <f>IF(AC88&gt;0,Standing!$C$132*0.5,0)</f>
        <v>0</v>
      </c>
      <c r="CK88" s="281">
        <f>IF(AC88&gt;0,Standing!$C$126*0.55,0)</f>
        <v>0</v>
      </c>
      <c r="CL88" s="282">
        <f>IF(AC88&gt;0,Standing!$C$126,0)</f>
        <v>0</v>
      </c>
      <c r="CM88" s="283">
        <f>IF(AC88&gt;0,Standing!$C$126*0.9,0)</f>
        <v>0</v>
      </c>
      <c r="CN88" s="284">
        <f>IF(AC88&gt;0,Standing!$C$126*0.33,0)</f>
        <v>0</v>
      </c>
      <c r="CO88" s="280">
        <f>IF(AC88&gt;0,Standing!$C$126*0.4,0)</f>
        <v>0</v>
      </c>
      <c r="CP88" s="281">
        <f>IF(AC88&gt;0,Standing!$C$26*0.25,0)</f>
        <v>0</v>
      </c>
      <c r="CQ88" s="282">
        <f>IF(AC88&gt;0,Standing!$C$26*0.2,0)</f>
        <v>0</v>
      </c>
      <c r="CR88" s="283">
        <f>IF(AC88&gt;0,Standing!$C$26*0.25,0)</f>
        <v>0</v>
      </c>
      <c r="CS88" s="285">
        <f>IF(AC88&gt;0,Standing!$C$26*0.2,0)</f>
        <v>0</v>
      </c>
      <c r="CT88" s="286"/>
      <c r="CU88" s="286" t="s">
        <v>26</v>
      </c>
    </row>
    <row r="89" ht="15.75" customHeight="1">
      <c r="A89" s="51"/>
      <c r="B89" s="296" t="s">
        <v>544</v>
      </c>
      <c r="C89" s="189">
        <f>Standing!$C$32*0.4</f>
        <v>1.178700787</v>
      </c>
      <c r="D89" s="218">
        <f t="shared" si="3"/>
        <v>0.3751912361</v>
      </c>
      <c r="E89" s="190">
        <f t="shared" si="4"/>
        <v>29.939</v>
      </c>
      <c r="F89" s="122">
        <f t="shared" si="5"/>
        <v>9.529857397</v>
      </c>
      <c r="G89" s="123">
        <f>C89/Introduction!$I$20</f>
        <v>0.0122781332</v>
      </c>
      <c r="H89" s="192">
        <f t="shared" si="6"/>
        <v>0.003908242043</v>
      </c>
      <c r="I89" s="124">
        <f>E89/Introduction!$I$20</f>
        <v>0.3118645833</v>
      </c>
      <c r="J89" s="125">
        <f t="shared" si="7"/>
        <v>0.09926934789</v>
      </c>
      <c r="K89" s="51"/>
      <c r="L89" s="51"/>
      <c r="M89" s="51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286"/>
      <c r="AB89" s="286" t="s">
        <v>27</v>
      </c>
      <c r="AC89" s="287">
        <f>IF('Ship Data Imperial'!E90&gt;0,'Ship Data Imperial'!E90,AD89)</f>
        <v>0</v>
      </c>
      <c r="AD89" s="287">
        <f>'Ship Data Metric'!E90*0.03280839895</f>
        <v>0</v>
      </c>
      <c r="AE89" s="284">
        <f>IF(AC89&gt;0,Standing!$C$75*0.45,0)</f>
        <v>0</v>
      </c>
      <c r="AF89" s="280">
        <f>IF(AC89&gt;0,Standing!$C$75*0.33,0)</f>
        <v>0</v>
      </c>
      <c r="AG89" s="281">
        <f>IF(AC89&gt;0,Standing!$C$75*0.2,0)</f>
        <v>0</v>
      </c>
      <c r="AH89" s="282">
        <f>IF(AC89&gt;0,Standing!$C$75*0.5,0)</f>
        <v>0</v>
      </c>
      <c r="AI89" s="283">
        <f>IF(AC89&gt;0,Standing!$C$75*0.2,0)</f>
        <v>0</v>
      </c>
      <c r="AJ89" s="284">
        <f>IF(AC89&gt;0,Standing!$C$75*0.25,0)</f>
        <v>0</v>
      </c>
      <c r="AK89" s="281">
        <f>IF(AC89&gt;0,Standing!$C$81*0.8,0)</f>
        <v>0</v>
      </c>
      <c r="AL89" s="282">
        <f t="shared" si="8"/>
        <v>0</v>
      </c>
      <c r="AM89" s="283">
        <f>IF(AC89&gt;0,Standing!$C$81*0.45,0)</f>
        <v>0</v>
      </c>
      <c r="AN89" s="284">
        <f>IF(AC89&gt;0,Standing!$C$81*0.55,0)</f>
        <v>0</v>
      </c>
      <c r="AO89" s="280">
        <f>IF(AC89&gt;0,Standing!$C$81*0.36,0)</f>
        <v>0</v>
      </c>
      <c r="AP89" s="281">
        <f>IF(AC89&gt;0,Standing!$C$81*0.9,0)</f>
        <v>0</v>
      </c>
      <c r="AQ89" s="282">
        <f>IF(AC89&gt;0,Standing!$C$85*0.9,0)</f>
        <v>0</v>
      </c>
      <c r="AR89" s="283">
        <f>IF(AC89&gt;0,Standing!$C$85*0.5,0)</f>
        <v>0</v>
      </c>
      <c r="AS89" s="284">
        <f>IF(AC89&gt;0,Standing!$C$85*0.55,0)</f>
        <v>0</v>
      </c>
      <c r="AT89" s="280">
        <f>IF(AC89&gt;0,Standing!$C$85*0.66,0)</f>
        <v>0</v>
      </c>
      <c r="AU89" s="281">
        <f>IF(AC89&gt;0,Standing!$C$75*0.25,0)</f>
        <v>0</v>
      </c>
      <c r="AV89" s="282">
        <f>IF(AC89&gt;0,Standing!$C$75*0.2,0)</f>
        <v>0</v>
      </c>
      <c r="AW89" s="283">
        <f>IF(AC89&gt;0,Standing!$C$26*0.33,0)</f>
        <v>0</v>
      </c>
      <c r="AX89" s="284">
        <f>IF(AC89&gt;0,Standing!$C$26*0.2,0)</f>
        <v>0</v>
      </c>
      <c r="AY89" s="280">
        <f>IF(AC89&gt;0,Standing!$C$26*0.25,0)</f>
        <v>0</v>
      </c>
      <c r="AZ89" s="281">
        <f>IF(AC89&gt;0,Standing!$C$26*0.33,0)</f>
        <v>0</v>
      </c>
      <c r="BA89" s="282">
        <f>IF(AC89&gt;0,Standing!$C$26*0.15,0)</f>
        <v>0</v>
      </c>
      <c r="BB89" s="283">
        <f>IF(AC89&gt;0,Standing!$C$26*0.125,0)</f>
        <v>0</v>
      </c>
      <c r="BC89" s="284">
        <f>IF(AC89&gt;0,Standing!$C$32*0.33,0)</f>
        <v>0</v>
      </c>
      <c r="BD89" s="280">
        <f>IF(AC89&gt;0,Standing!$C$32*0.5,0)</f>
        <v>0</v>
      </c>
      <c r="BE89" s="281">
        <f>IF(AC89&gt;0,Standing!$C$32*0.33,0)</f>
        <v>0</v>
      </c>
      <c r="BF89" s="282">
        <f>IF(AC89&gt;0,Standing!$C$32*0.33,0)</f>
        <v>0</v>
      </c>
      <c r="BG89" s="283">
        <f>IF(AC89&gt;0,Standing!$C$32*0.3,0)</f>
        <v>0</v>
      </c>
      <c r="BH89" s="284">
        <f>IF(AC89&gt;0,Standing!$C$32*0.4,0)</f>
        <v>0</v>
      </c>
      <c r="BI89" s="280">
        <f>IF(AC89&gt;0,Standing!$C$26*0.5,0)</f>
        <v>0</v>
      </c>
      <c r="BJ89" s="281">
        <f>IF(AC89&gt;0,Standing!$C$26*0.45,0)</f>
        <v>0</v>
      </c>
      <c r="BK89" s="282">
        <f>IF(AC89&gt;0,Standing!$C$26*0.5,0)</f>
        <v>0</v>
      </c>
      <c r="BL89" s="283">
        <f>IF(AC89&gt;0,Standing!$C$32*0.66,0)</f>
        <v>0</v>
      </c>
      <c r="BM89" s="281">
        <f>IF(AC89&gt;0,Standing!$C$32*0.85,0)</f>
        <v>0</v>
      </c>
      <c r="BN89" s="284">
        <f t="shared" si="9"/>
        <v>0</v>
      </c>
      <c r="BO89" s="282">
        <f>IF(AC89&gt;0,Standing!$C$32*0.45,0)</f>
        <v>0</v>
      </c>
      <c r="BP89" s="280">
        <f>IF(AC89&gt;0,Standing!$C$32*0.45,0)</f>
        <v>0</v>
      </c>
      <c r="BQ89" s="281">
        <f>IF(AC89&gt;0,Standing!$C$32*0.66,0)</f>
        <v>0</v>
      </c>
      <c r="BR89" s="282">
        <f>IF(AC89&gt;0,Standing!$C$32*0.33,0)</f>
        <v>0</v>
      </c>
      <c r="BS89" s="283">
        <f>IF(AC89&gt;0,Standing!$C$32*0.33,0)</f>
        <v>0</v>
      </c>
      <c r="BT89" s="284">
        <f>IF(AC89&gt;0,Standing!$C$32*0.45,0)</f>
        <v>0</v>
      </c>
      <c r="BU89" s="280">
        <f>IF(AC89&gt;0,Standing!$C$36*0.9,0)</f>
        <v>0</v>
      </c>
      <c r="BV89" s="281">
        <f>IF(AC89&gt;0,Standing!$C$36*0.45,0)</f>
        <v>0</v>
      </c>
      <c r="BW89" s="282">
        <f>IF(AC89&gt;0,Standing!$C$126*0.66,0)</f>
        <v>0</v>
      </c>
      <c r="BX89" s="283">
        <f>IF(AC89&gt;0,Standing!$C$126*0.66,0)</f>
        <v>0</v>
      </c>
      <c r="BY89" s="284">
        <f>IF(AC89&gt;0,Standing!$C$126*0.4,0)</f>
        <v>0</v>
      </c>
      <c r="BZ89" s="280">
        <f>IF(AC89&gt;0,Standing!$C$126*0.33,0)</f>
        <v>0</v>
      </c>
      <c r="CA89" s="281">
        <f>IF(AC89&gt;0,Standing!$C$132,0)</f>
        <v>0</v>
      </c>
      <c r="CB89" s="282">
        <f>IF(AC89&gt;0,Standing!$C$132*0.66,0)</f>
        <v>0</v>
      </c>
      <c r="CC89" s="283">
        <f>IF(AC89&gt;0,Standing!$C$132*0.5,0)</f>
        <v>0</v>
      </c>
      <c r="CD89" s="284">
        <f>IF(AC89&gt;0,Standing!$C$132*0.5,0)</f>
        <v>0</v>
      </c>
      <c r="CE89" s="280">
        <f>IF(AC89&gt;0,Standing!$C$132*0.5,0)</f>
        <v>0</v>
      </c>
      <c r="CF89" s="281">
        <f>IF(AC89&gt;0,Standing!$C$132*0.66,0)</f>
        <v>0</v>
      </c>
      <c r="CG89" s="282">
        <f>IF(AC89&gt;0,Standing!$C$132*0.5,0)</f>
        <v>0</v>
      </c>
      <c r="CH89" s="283">
        <f>IF(AC89&gt;0,Standing!$C$132*0.5,0)</f>
        <v>0</v>
      </c>
      <c r="CI89" s="284">
        <f>IF(AC89&gt;0,Standing!$C$132*0.5,0)</f>
        <v>0</v>
      </c>
      <c r="CJ89" s="280">
        <f>IF(AC89&gt;0,Standing!$C$132*0.5,0)</f>
        <v>0</v>
      </c>
      <c r="CK89" s="281">
        <f>IF(AC89&gt;0,Standing!$C$126*0.55,0)</f>
        <v>0</v>
      </c>
      <c r="CL89" s="282">
        <f>IF(AC89&gt;0,Standing!$C$126,0)</f>
        <v>0</v>
      </c>
      <c r="CM89" s="283">
        <f>IF(AC89&gt;0,Standing!$C$126*0.9,0)</f>
        <v>0</v>
      </c>
      <c r="CN89" s="284">
        <f>IF(AC89&gt;0,Standing!$C$126*0.33,0)</f>
        <v>0</v>
      </c>
      <c r="CO89" s="280">
        <f>IF(AC89&gt;0,Standing!$C$126*0.4,0)</f>
        <v>0</v>
      </c>
      <c r="CP89" s="281">
        <f>IF(AC89&gt;0,Standing!$C$26*0.33,0)</f>
        <v>0</v>
      </c>
      <c r="CQ89" s="282">
        <f>IF(AC89&gt;0,Standing!$C$26*0.2,0)</f>
        <v>0</v>
      </c>
      <c r="CR89" s="283">
        <f>IF(AC89&gt;0,Standing!$C$26*0.25,0)</f>
        <v>0</v>
      </c>
      <c r="CS89" s="285">
        <f>IF(AC89&gt;0,Standing!$C$26*0.2,0)</f>
        <v>0</v>
      </c>
      <c r="CT89" s="286"/>
      <c r="CU89" s="286" t="s">
        <v>27</v>
      </c>
    </row>
    <row r="90" ht="15.75" customHeight="1">
      <c r="A90" s="51"/>
      <c r="B90" s="296" t="s">
        <v>545</v>
      </c>
      <c r="C90" s="189">
        <f>Standing!$C$32*0.45</f>
        <v>1.326038386</v>
      </c>
      <c r="D90" s="218">
        <f t="shared" si="3"/>
        <v>0.4220901406</v>
      </c>
      <c r="E90" s="190">
        <f t="shared" si="4"/>
        <v>33.681375</v>
      </c>
      <c r="F90" s="122">
        <f t="shared" si="5"/>
        <v>10.72108957</v>
      </c>
      <c r="G90" s="123">
        <f>C90/Introduction!$I$20</f>
        <v>0.01381289985</v>
      </c>
      <c r="H90" s="192">
        <f t="shared" si="6"/>
        <v>0.004396772298</v>
      </c>
      <c r="I90" s="124">
        <f>E90/Introduction!$I$20</f>
        <v>0.3508476562</v>
      </c>
      <c r="J90" s="125">
        <f t="shared" si="7"/>
        <v>0.1116780164</v>
      </c>
      <c r="K90" s="51"/>
      <c r="L90" s="51"/>
      <c r="M90" s="51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286"/>
      <c r="AB90" s="286" t="s">
        <v>28</v>
      </c>
      <c r="AC90" s="287">
        <f>IF('Ship Data Imperial'!E91&gt;0,'Ship Data Imperial'!E91,AD90)</f>
        <v>0</v>
      </c>
      <c r="AD90" s="287">
        <f>'Ship Data Metric'!E91*0.03280839895</f>
        <v>0</v>
      </c>
      <c r="AE90" s="284">
        <f>IF(AC90&gt;0,Standing!$C$75*0.65,0)</f>
        <v>0</v>
      </c>
      <c r="AF90" s="280">
        <f>IF(AC90&gt;0,Standing!$C$75*0.33,0)</f>
        <v>0</v>
      </c>
      <c r="AG90" s="281">
        <f>IF(AC90&gt;0,Standing!$C$75*0.2,0)</f>
        <v>0</v>
      </c>
      <c r="AH90" s="282">
        <f>IF(AC90&gt;0,Standing!$C$75*0.5,0)</f>
        <v>0</v>
      </c>
      <c r="AI90" s="283">
        <f>IF(AC90&gt;0,Standing!$C$75*0.2,0)</f>
        <v>0</v>
      </c>
      <c r="AJ90" s="284">
        <f>IF(AC90&gt;0,Standing!$C$75*0.25,0)</f>
        <v>0</v>
      </c>
      <c r="AK90" s="281">
        <f>IF(AC90&gt;0,Standing!$C$81*0.8,0)</f>
        <v>0</v>
      </c>
      <c r="AL90" s="282">
        <f t="shared" si="8"/>
        <v>0</v>
      </c>
      <c r="AM90" s="283">
        <f>IF(AC90&gt;0,Standing!$C$81*0.45,0)</f>
        <v>0</v>
      </c>
      <c r="AN90" s="284">
        <f>IF(AC90&gt;0,Standing!$C$81*0.55,0)</f>
        <v>0</v>
      </c>
      <c r="AO90" s="280">
        <f>IF(AC90&gt;0,Standing!$C$81*0.36,0)</f>
        <v>0</v>
      </c>
      <c r="AP90" s="281">
        <f>IF(AC90&gt;0,Standing!$C$81*0.9,0)</f>
        <v>0</v>
      </c>
      <c r="AQ90" s="282">
        <f>IF(AC90&gt;0,Standing!$C$85*0.9,0)</f>
        <v>0</v>
      </c>
      <c r="AR90" s="283">
        <f>IF(AC90&gt;0,Standing!$C$85*0.5,0)</f>
        <v>0</v>
      </c>
      <c r="AS90" s="284">
        <f>IF(AC90&gt;0,Standing!$C$85*0.55,0)</f>
        <v>0</v>
      </c>
      <c r="AT90" s="280">
        <f>IF(AC90&gt;0,Standing!$C$85*0.66,0)</f>
        <v>0</v>
      </c>
      <c r="AU90" s="281">
        <f>IF(AC90&gt;0,Standing!$C$75*0.25,0)</f>
        <v>0</v>
      </c>
      <c r="AV90" s="282">
        <f>IF(AC90&gt;0,Standing!$C$75*0.2,0)</f>
        <v>0</v>
      </c>
      <c r="AW90" s="283">
        <f>IF(AC90&gt;0,Standing!$C$26*0.33,0)</f>
        <v>0</v>
      </c>
      <c r="AX90" s="284">
        <f>IF(AC90&gt;0,Standing!$C$26*0.2,0)</f>
        <v>0</v>
      </c>
      <c r="AY90" s="280">
        <f>IF(AC90&gt;0,Standing!$C$26*0.25,0)</f>
        <v>0</v>
      </c>
      <c r="AZ90" s="281">
        <f>IF(AC90&gt;0,Standing!$C$26*0.33,0)</f>
        <v>0</v>
      </c>
      <c r="BA90" s="282">
        <f>IF(AC90&gt;0,Standing!$C$26*0.15,0)</f>
        <v>0</v>
      </c>
      <c r="BB90" s="283">
        <f>IF(AC90&gt;0,Standing!$C$26*0.125,0)</f>
        <v>0</v>
      </c>
      <c r="BC90" s="284">
        <f>IF(AC90&gt;0,Standing!$C$32*0.33,0)</f>
        <v>0</v>
      </c>
      <c r="BD90" s="280">
        <f>IF(AC90&gt;0,Standing!$C$32*0.5,0)</f>
        <v>0</v>
      </c>
      <c r="BE90" s="281">
        <f>IF(AC90&gt;0,Standing!$C$32*0.33,0)</f>
        <v>0</v>
      </c>
      <c r="BF90" s="282">
        <f>IF(AC90&gt;0,Standing!$C$32*0.33,0)</f>
        <v>0</v>
      </c>
      <c r="BG90" s="283">
        <f>IF(AC90&gt;0,Standing!$C$32*0.3,0)</f>
        <v>0</v>
      </c>
      <c r="BH90" s="284">
        <f>IF(AC90&gt;0,Standing!$C$32*0.4,0)</f>
        <v>0</v>
      </c>
      <c r="BI90" s="280">
        <f>IF(AC90&gt;0,Standing!$C$26*0.75,0)</f>
        <v>0</v>
      </c>
      <c r="BJ90" s="281">
        <f>IF(AC90&gt;0,Standing!$C$26*0.65,0)</f>
        <v>0</v>
      </c>
      <c r="BK90" s="282">
        <f>IF(AC90&gt;0,Standing!$C$26*0.5,0)</f>
        <v>0</v>
      </c>
      <c r="BL90" s="283">
        <f>IF(AC90&gt;0,Standing!$C$32*0.66,0)</f>
        <v>0</v>
      </c>
      <c r="BM90" s="281">
        <f>IF(AC90&gt;0,Standing!$C$32*0.85,0)</f>
        <v>0</v>
      </c>
      <c r="BN90" s="284">
        <f t="shared" si="9"/>
        <v>0</v>
      </c>
      <c r="BO90" s="282">
        <f>IF(AC90&gt;0,Standing!$C$32*0.45,0)</f>
        <v>0</v>
      </c>
      <c r="BP90" s="280">
        <f>IF(AC90&gt;0,Standing!$C$32*0.45,0)</f>
        <v>0</v>
      </c>
      <c r="BQ90" s="281">
        <f>IF(AC90&gt;0,Standing!$C$32*0.66,0)</f>
        <v>0</v>
      </c>
      <c r="BR90" s="282">
        <f>IF(AC90&gt;0,Standing!$C$32*0.33,0)</f>
        <v>0</v>
      </c>
      <c r="BS90" s="283">
        <f>IF(AC90&gt;0,Standing!$C$32*0.33,0)</f>
        <v>0</v>
      </c>
      <c r="BT90" s="284">
        <f>IF(AC90&gt;0,Standing!$C$32*0.45,0)</f>
        <v>0</v>
      </c>
      <c r="BU90" s="280">
        <f>IF(AC90&gt;0,Standing!$C$36*0.9,0)</f>
        <v>0</v>
      </c>
      <c r="BV90" s="281">
        <f>IF(AC90&gt;0,Standing!$C$36*0.45,0)</f>
        <v>0</v>
      </c>
      <c r="BW90" s="282">
        <f>IF(AC90&gt;0,Standing!$C$126*0.66,0)</f>
        <v>0</v>
      </c>
      <c r="BX90" s="283">
        <f>IF(AC90&gt;0,Standing!$C$126*0.66,0)</f>
        <v>0</v>
      </c>
      <c r="BY90" s="284">
        <f>IF(AC90&gt;0,Standing!$C$126*0.4,0)</f>
        <v>0</v>
      </c>
      <c r="BZ90" s="280">
        <f>IF(AC90&gt;0,Standing!$C$126*0.33,0)</f>
        <v>0</v>
      </c>
      <c r="CA90" s="281">
        <f>IF(AC90&gt;0,Standing!$C$132,0)</f>
        <v>0</v>
      </c>
      <c r="CB90" s="282">
        <f>IF(AC90&gt;0,Standing!$C$132*0.66,0)</f>
        <v>0</v>
      </c>
      <c r="CC90" s="283">
        <f>IF(AC90&gt;0,Standing!$C$132*0.5,0)</f>
        <v>0</v>
      </c>
      <c r="CD90" s="284">
        <f>IF(AC90&gt;0,Standing!$C$132*0.5,0)</f>
        <v>0</v>
      </c>
      <c r="CE90" s="280">
        <f>IF(AC90&gt;0,Standing!$C$132*0.5,0)</f>
        <v>0</v>
      </c>
      <c r="CF90" s="281">
        <f>IF(AC90&gt;0,Standing!$C$132*0.66,0)</f>
        <v>0</v>
      </c>
      <c r="CG90" s="282">
        <f>IF(AC90&gt;0,Standing!$C$132*0.5,0)</f>
        <v>0</v>
      </c>
      <c r="CH90" s="283">
        <f>IF(AC90&gt;0,Standing!$C$132*0.5,0)</f>
        <v>0</v>
      </c>
      <c r="CI90" s="284">
        <f>IF(AC90&gt;0,Standing!$C$132*0.5,0)</f>
        <v>0</v>
      </c>
      <c r="CJ90" s="280">
        <f>IF(AC90&gt;0,Standing!$C$132*0.5,0)</f>
        <v>0</v>
      </c>
      <c r="CK90" s="281">
        <f>IF(AC90&gt;0,Standing!$C$126*0.55,0)</f>
        <v>0</v>
      </c>
      <c r="CL90" s="282">
        <f>IF(AC90&gt;0,Standing!$C$126,0)</f>
        <v>0</v>
      </c>
      <c r="CM90" s="283">
        <f>IF(AC90&gt;0,Standing!$C$126*0.9,0)</f>
        <v>0</v>
      </c>
      <c r="CN90" s="284">
        <f>IF(AC90&gt;0,Standing!$C$126*0.33,0)</f>
        <v>0</v>
      </c>
      <c r="CO90" s="280">
        <f>IF(AC90&gt;0,Standing!$C$126*0.4,0)</f>
        <v>0</v>
      </c>
      <c r="CP90" s="281">
        <f>IF(AC90&gt;0,Standing!$C$26*0.33,0)</f>
        <v>0</v>
      </c>
      <c r="CQ90" s="282">
        <f>IF(AC90&gt;0,Standing!$C$26*0.2,0)</f>
        <v>0</v>
      </c>
      <c r="CR90" s="283">
        <f>IF(AC90&gt;0,Standing!$C$26*0.25,0)</f>
        <v>0</v>
      </c>
      <c r="CS90" s="285">
        <f>IF(AC90&gt;0,Standing!$C$26*0.2,0)</f>
        <v>0</v>
      </c>
      <c r="CT90" s="286"/>
      <c r="CU90" s="286" t="s">
        <v>28</v>
      </c>
    </row>
    <row r="91" ht="15.75" customHeight="1">
      <c r="A91" s="51"/>
      <c r="B91" s="296" t="s">
        <v>546</v>
      </c>
      <c r="C91" s="189">
        <f>Standing!$C$32*0.5</f>
        <v>1.473375984</v>
      </c>
      <c r="D91" s="218">
        <f t="shared" si="3"/>
        <v>0.4689890452</v>
      </c>
      <c r="E91" s="190">
        <f t="shared" si="4"/>
        <v>37.42375</v>
      </c>
      <c r="F91" s="122">
        <f t="shared" si="5"/>
        <v>11.91232175</v>
      </c>
      <c r="G91" s="123">
        <f>C91/Introduction!$I$20</f>
        <v>0.0153476665</v>
      </c>
      <c r="H91" s="192">
        <f t="shared" si="6"/>
        <v>0.004885302554</v>
      </c>
      <c r="I91" s="124">
        <f>E91/Introduction!$I$20</f>
        <v>0.3898307292</v>
      </c>
      <c r="J91" s="125">
        <f t="shared" si="7"/>
        <v>0.1240866849</v>
      </c>
      <c r="K91" s="51"/>
      <c r="L91" s="51"/>
      <c r="M91" s="51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286"/>
      <c r="AB91" s="286" t="s">
        <v>29</v>
      </c>
      <c r="AC91" s="287">
        <f>IF('Ship Data Imperial'!E92&gt;0,'Ship Data Imperial'!E92,AD91)</f>
        <v>0</v>
      </c>
      <c r="AD91" s="287">
        <f>'Ship Data Metric'!E92*0.03280839895</f>
        <v>0</v>
      </c>
      <c r="AE91" s="284">
        <f>IF(AC91&gt;0,Standing!$C$75*0.65,0)</f>
        <v>0</v>
      </c>
      <c r="AF91" s="280">
        <f>IF(AC91&gt;0,Standing!$C$75*0.33,0)</f>
        <v>0</v>
      </c>
      <c r="AG91" s="281">
        <f>IF(AC91&gt;0,Standing!$C$75*0.2,0)</f>
        <v>0</v>
      </c>
      <c r="AH91" s="282">
        <f>IF(AC91&gt;0,Standing!$C$75*0.5,0)</f>
        <v>0</v>
      </c>
      <c r="AI91" s="283">
        <f>IF(AC91&gt;0,Standing!$C$75*0.2,0)</f>
        <v>0</v>
      </c>
      <c r="AJ91" s="284">
        <f>IF(AC91&gt;0,Standing!$C$75*0.25,0)</f>
        <v>0</v>
      </c>
      <c r="AK91" s="281">
        <f>IF(AC91&gt;0,Standing!$C$81*0.8,0)</f>
        <v>0</v>
      </c>
      <c r="AL91" s="282">
        <f t="shared" si="8"/>
        <v>0</v>
      </c>
      <c r="AM91" s="283">
        <f>IF(AC91&gt;0,Standing!$C$81*0.45,0)</f>
        <v>0</v>
      </c>
      <c r="AN91" s="284">
        <f>IF(AC91&gt;0,Standing!$C$81*0.55,0)</f>
        <v>0</v>
      </c>
      <c r="AO91" s="280">
        <f>IF(AC91&gt;0,Standing!$C$81*0.36,0)</f>
        <v>0</v>
      </c>
      <c r="AP91" s="281">
        <f>IF(AC91&gt;0,Standing!$C$81*0.9,0)</f>
        <v>0</v>
      </c>
      <c r="AQ91" s="282">
        <f>IF(AC91&gt;0,Standing!$C$85*0.9,0)</f>
        <v>0</v>
      </c>
      <c r="AR91" s="283">
        <f>IF(AC91&gt;0,Standing!$C$85*0.5,0)</f>
        <v>0</v>
      </c>
      <c r="AS91" s="284">
        <f>IF(AC91&gt;0,Standing!$C$85*0.55,0)</f>
        <v>0</v>
      </c>
      <c r="AT91" s="280">
        <f>IF(AC91&gt;0,Standing!$C$85*0.66,0)</f>
        <v>0</v>
      </c>
      <c r="AU91" s="281">
        <f>IF(AC91&gt;0,Standing!$C$75*0.25,0)</f>
        <v>0</v>
      </c>
      <c r="AV91" s="282">
        <f>IF(AC91&gt;0,Standing!$C$75*0.2,0)</f>
        <v>0</v>
      </c>
      <c r="AW91" s="283">
        <f>IF(AC91&gt;0,Standing!$C$26*0.33,0)</f>
        <v>0</v>
      </c>
      <c r="AX91" s="284">
        <f>IF(AC91&gt;0,Standing!$C$26*0.2,0)</f>
        <v>0</v>
      </c>
      <c r="AY91" s="280">
        <f>IF(AC91&gt;0,Standing!$C$26*0.25,0)</f>
        <v>0</v>
      </c>
      <c r="AZ91" s="281">
        <f>IF(AC91&gt;0,Standing!$C$26*0.33,0)</f>
        <v>0</v>
      </c>
      <c r="BA91" s="282">
        <f>IF(AC91&gt;0,Standing!$C$26*0.15,0)</f>
        <v>0</v>
      </c>
      <c r="BB91" s="283">
        <f>IF(AC91&gt;0,Standing!$C$26*0.125,0)</f>
        <v>0</v>
      </c>
      <c r="BC91" s="284">
        <f>IF(AC91&gt;0,Standing!$C$32*0.33,0)</f>
        <v>0</v>
      </c>
      <c r="BD91" s="280">
        <f>IF(AC91&gt;0,Standing!$C$32*0.5,0)</f>
        <v>0</v>
      </c>
      <c r="BE91" s="281">
        <f>IF(AC91&gt;0,Standing!$C$32*0.33,0)</f>
        <v>0</v>
      </c>
      <c r="BF91" s="282">
        <f>IF(AC91&gt;0,Standing!$C$32*0.33,0)</f>
        <v>0</v>
      </c>
      <c r="BG91" s="283">
        <f>IF(AC91&gt;0,Standing!$C$32*0.3,0)</f>
        <v>0</v>
      </c>
      <c r="BH91" s="284">
        <f>IF(AC91&gt;0,Standing!$C$32*0.4,0)</f>
        <v>0</v>
      </c>
      <c r="BI91" s="280">
        <f>IF(AC91&gt;0,Standing!$C$26*0.75,0)</f>
        <v>0</v>
      </c>
      <c r="BJ91" s="281">
        <f>IF(AC91&gt;0,Standing!$C$26*0.65,0)</f>
        <v>0</v>
      </c>
      <c r="BK91" s="282">
        <f>IF(AC91&gt;0,Standing!$C$26*0.5,0)</f>
        <v>0</v>
      </c>
      <c r="BL91" s="283">
        <f>IF(AC91&gt;0,Standing!$C$32*0.66,0)</f>
        <v>0</v>
      </c>
      <c r="BM91" s="281">
        <f>IF(AC91&gt;0,Standing!$C$32*0.85,0)</f>
        <v>0</v>
      </c>
      <c r="BN91" s="284">
        <f t="shared" si="9"/>
        <v>0</v>
      </c>
      <c r="BO91" s="282">
        <f>IF(AC91&gt;0,Standing!$C$32*0.45,0)</f>
        <v>0</v>
      </c>
      <c r="BP91" s="280">
        <f>IF(AC91&gt;0,Standing!$C$32*0.45,0)</f>
        <v>0</v>
      </c>
      <c r="BQ91" s="281">
        <f>IF(AC91&gt;0,Standing!$C$32*0.66,0)</f>
        <v>0</v>
      </c>
      <c r="BR91" s="282">
        <f>IF(AC91&gt;0,Standing!$C$32*0.33,0)</f>
        <v>0</v>
      </c>
      <c r="BS91" s="283">
        <f>IF(AC91&gt;0,Standing!$C$32*0.375,0)</f>
        <v>0</v>
      </c>
      <c r="BT91" s="284">
        <f>IF(AC91&gt;0,Standing!$C$32*0.45,0)</f>
        <v>0</v>
      </c>
      <c r="BU91" s="280">
        <f>IF(AC91&gt;0,Standing!$C$36*0.9,0)</f>
        <v>0</v>
      </c>
      <c r="BV91" s="281">
        <f>IF(AC91&gt;0,Standing!$C$36*0.45,0)</f>
        <v>0</v>
      </c>
      <c r="BW91" s="282">
        <f>IF(AC91&gt;0,Standing!$C$126*0.66,0)</f>
        <v>0</v>
      </c>
      <c r="BX91" s="283">
        <f>IF(AC91&gt;0,Standing!$C$126*0.66,0)</f>
        <v>0</v>
      </c>
      <c r="BY91" s="284">
        <f>IF(AC91&gt;0,Standing!$C$126*0.4,0)</f>
        <v>0</v>
      </c>
      <c r="BZ91" s="280">
        <f>IF(AC91&gt;0,Standing!$C$126*0.33,0)</f>
        <v>0</v>
      </c>
      <c r="CA91" s="281">
        <f>IF(AC91&gt;0,Standing!$C$132,0)</f>
        <v>0</v>
      </c>
      <c r="CB91" s="282">
        <f>IF(AC91&gt;0,Standing!$C$132*0.66,0)</f>
        <v>0</v>
      </c>
      <c r="CC91" s="283">
        <f>IF(AC91&gt;0,Standing!$C$132*0.5,0)</f>
        <v>0</v>
      </c>
      <c r="CD91" s="284">
        <f>IF(AC91&gt;0,Standing!$C$132*0.5,0)</f>
        <v>0</v>
      </c>
      <c r="CE91" s="280">
        <f>IF(AC91&gt;0,Standing!$C$132*0.5,0)</f>
        <v>0</v>
      </c>
      <c r="CF91" s="281">
        <f>IF(AC91&gt;0,Standing!$C$132*0.66,0)</f>
        <v>0</v>
      </c>
      <c r="CG91" s="282">
        <f>IF(AC91&gt;0,Standing!$C$132*0.5,0)</f>
        <v>0</v>
      </c>
      <c r="CH91" s="283">
        <f>IF(AC91&gt;0,Standing!$C$132*0.5,0)</f>
        <v>0</v>
      </c>
      <c r="CI91" s="284">
        <f>IF(AC91&gt;0,Standing!$C$132*0.5,0)</f>
        <v>0</v>
      </c>
      <c r="CJ91" s="280">
        <f>IF(AC91&gt;0,Standing!$C$132*0.5,0)</f>
        <v>0</v>
      </c>
      <c r="CK91" s="281">
        <f>IF(AC91&gt;0,Standing!$C$126*0.55,0)</f>
        <v>0</v>
      </c>
      <c r="CL91" s="282">
        <f>IF(AC91&gt;0,Standing!$C$126,0)</f>
        <v>0</v>
      </c>
      <c r="CM91" s="283">
        <f>IF(AC91&gt;0,Standing!$C$126*0.9,0)</f>
        <v>0</v>
      </c>
      <c r="CN91" s="284">
        <f>IF(AC91&gt;0,Standing!$C$126*0.33,0)</f>
        <v>0</v>
      </c>
      <c r="CO91" s="280">
        <f>IF(AC91&gt;0,Standing!$C$126*0.4,0)</f>
        <v>0</v>
      </c>
      <c r="CP91" s="281">
        <f>IF(AC91&gt;0,Standing!$C$26*0.33,0)</f>
        <v>0</v>
      </c>
      <c r="CQ91" s="282">
        <f>IF(AC91&gt;0,Standing!$C$26*0.2,0)</f>
        <v>0</v>
      </c>
      <c r="CR91" s="283">
        <f>IF(AC91&gt;0,Standing!$C$26*0.25,0)</f>
        <v>0</v>
      </c>
      <c r="CS91" s="285">
        <f>IF(AC91&gt;0,Standing!$C$26*0.2,0)</f>
        <v>0</v>
      </c>
      <c r="CT91" s="286"/>
      <c r="CU91" s="286" t="s">
        <v>29</v>
      </c>
    </row>
    <row r="92" ht="15.75" customHeight="1">
      <c r="A92" s="51"/>
      <c r="B92" s="296" t="s">
        <v>547</v>
      </c>
      <c r="C92" s="189">
        <f>Standing!$C$32*0.33</f>
        <v>0.9724281496</v>
      </c>
      <c r="D92" s="218">
        <f t="shared" si="3"/>
        <v>0.3095327698</v>
      </c>
      <c r="E92" s="190">
        <f t="shared" si="4"/>
        <v>24.699675</v>
      </c>
      <c r="F92" s="122">
        <f t="shared" si="5"/>
        <v>7.862132353</v>
      </c>
      <c r="G92" s="123">
        <f>C92/Introduction!$I$20</f>
        <v>0.01012945989</v>
      </c>
      <c r="H92" s="192">
        <f t="shared" si="6"/>
        <v>0.003224299685</v>
      </c>
      <c r="I92" s="124">
        <f>E92/Introduction!$I$20</f>
        <v>0.2572882812</v>
      </c>
      <c r="J92" s="125">
        <f t="shared" si="7"/>
        <v>0.08189721201</v>
      </c>
      <c r="K92" s="51"/>
      <c r="L92" s="51"/>
      <c r="M92" s="51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286" t="s">
        <v>49</v>
      </c>
      <c r="AB92" s="286" t="s">
        <v>24</v>
      </c>
      <c r="AC92" s="287">
        <f>IF('Ship Data Imperial'!E93&gt;0,'Ship Data Imperial'!E93,AD92)</f>
        <v>0</v>
      </c>
      <c r="AD92" s="287">
        <f>'Ship Data Metric'!E93*0.03280839895</f>
        <v>0</v>
      </c>
      <c r="AE92" s="284">
        <f>IF(AC92&gt;0,Standing!$C$75*0.45,0)</f>
        <v>0</v>
      </c>
      <c r="AF92" s="280">
        <f>IF(AC92&gt;0,Standing!$C$75*0.25,0)</f>
        <v>0</v>
      </c>
      <c r="AG92" s="281">
        <f>IF(AC92&gt;0,Standing!$C$75*0.165,0)</f>
        <v>0</v>
      </c>
      <c r="AH92" s="282">
        <f>IF(AC92&gt;0,Standing!$C$75*0.5,0)</f>
        <v>0</v>
      </c>
      <c r="AI92" s="283">
        <f>IF(AC92&gt;0,Standing!$C$75*0.16,0)</f>
        <v>0</v>
      </c>
      <c r="AJ92" s="284">
        <f>IF(AC92&gt;0,Standing!$C$75*0.2,0)</f>
        <v>0</v>
      </c>
      <c r="AK92" s="281">
        <f>IF(AC92&gt;0,Standing!$C$81*0.66,0)</f>
        <v>0</v>
      </c>
      <c r="AL92" s="282">
        <f t="shared" si="8"/>
        <v>0</v>
      </c>
      <c r="AM92" s="283">
        <f>IF(AC92&gt;0,Standing!$C$81*0.45,0)</f>
        <v>0</v>
      </c>
      <c r="AN92" s="284">
        <f>IF(AC92&gt;0,Standing!$C$81*0.55,0)</f>
        <v>0</v>
      </c>
      <c r="AO92" s="280">
        <f>IF(AC92&gt;0,Standing!$C$81*0.36,0)</f>
        <v>0</v>
      </c>
      <c r="AP92" s="281">
        <f>IF(AC92&gt;0,Standing!$C$81,0)</f>
        <v>0</v>
      </c>
      <c r="AQ92" s="282">
        <f>IF(AC92&gt;0,Standing!$C$85*0.9,0)</f>
        <v>0</v>
      </c>
      <c r="AR92" s="283">
        <f>IF(AC92&gt;0,Standing!$C$85*0.5,0)</f>
        <v>0</v>
      </c>
      <c r="AS92" s="284">
        <f>IF(AC92&gt;0,Standing!$C$85*0.55,0)</f>
        <v>0</v>
      </c>
      <c r="AT92" s="280">
        <f>IF(AC92&gt;0,Standing!$C$85*0.66,0)</f>
        <v>0</v>
      </c>
      <c r="AU92" s="281">
        <f>IF(AC92&gt;0,Standing!$C$75*0.2,0)</f>
        <v>0</v>
      </c>
      <c r="AV92" s="282">
        <f>IF(AC92&gt;0,Standing!$C$75*0.2,0)</f>
        <v>0</v>
      </c>
      <c r="AW92" s="283">
        <f>IF(AC92&gt;0,Standing!$C$26*0.33,0)</f>
        <v>0</v>
      </c>
      <c r="AX92" s="284">
        <f>IF(AC92&gt;0,Standing!$C$26*0.2,0)</f>
        <v>0</v>
      </c>
      <c r="AY92" s="280">
        <f>IF(AC92&gt;0,Standing!$C$26*0.25,0)</f>
        <v>0</v>
      </c>
      <c r="AZ92" s="281">
        <f>IF(AC92&gt;0,Standing!$C$26*0.33,0)</f>
        <v>0</v>
      </c>
      <c r="BA92" s="282">
        <f>IF(AC92&gt;0,Standing!$C$26*0.15,0)</f>
        <v>0</v>
      </c>
      <c r="BB92" s="283">
        <f>IF(AC92&gt;0,Standing!$C$26*0.125,0)</f>
        <v>0</v>
      </c>
      <c r="BC92" s="284">
        <f>IF(AC92&gt;0,Standing!$C$32*0.33,0)</f>
        <v>0</v>
      </c>
      <c r="BD92" s="280">
        <f>IF(AC92&gt;0,Standing!$C$32*0.5,0)</f>
        <v>0</v>
      </c>
      <c r="BE92" s="281">
        <f>IF(AC92&gt;0,Standing!$C$32*0.33,0)</f>
        <v>0</v>
      </c>
      <c r="BF92" s="282">
        <f>IF(AC92&gt;0,Standing!$C$32*0.33,0)</f>
        <v>0</v>
      </c>
      <c r="BG92" s="283">
        <f>IF(AC92&gt;0,Standing!$C$32*0.25,0)</f>
        <v>0</v>
      </c>
      <c r="BH92" s="284">
        <f>IF(AC92&gt;0,Standing!$C$32*0.33,0)</f>
        <v>0</v>
      </c>
      <c r="BI92" s="280">
        <f>IF(AC92&gt;0,Standing!$C$26*0.5,0)</f>
        <v>0</v>
      </c>
      <c r="BJ92" s="281">
        <f>IF(AC92&gt;0,Standing!$C$26*0.45,0)</f>
        <v>0</v>
      </c>
      <c r="BK92" s="282">
        <f>IF(AC92&gt;0,Standing!$C$26*0.5,0)</f>
        <v>0</v>
      </c>
      <c r="BL92" s="283">
        <f>IF(AC92&gt;0,Standing!$C$32*0.66,0)</f>
        <v>0</v>
      </c>
      <c r="BM92" s="281">
        <f>IF(AC92&gt;0,Standing!$C$32*0.9,0)</f>
        <v>0</v>
      </c>
      <c r="BN92" s="284">
        <f t="shared" si="9"/>
        <v>0</v>
      </c>
      <c r="BO92" s="282">
        <f>IF(AC92&gt;0,Standing!$C$32*0.5,0)</f>
        <v>0</v>
      </c>
      <c r="BP92" s="280">
        <f>IF(AC92&gt;0,Standing!$C$32*0.45,0)</f>
        <v>0</v>
      </c>
      <c r="BQ92" s="281">
        <f>IF(AC92&gt;0,Standing!$C$32*0.66,0)</f>
        <v>0</v>
      </c>
      <c r="BR92" s="282">
        <f>IF(AC92&gt;0,Standing!$C$32*0.33,0)</f>
        <v>0</v>
      </c>
      <c r="BS92" s="283">
        <f>IF(AC92&gt;0,Standing!$C$32*0.33,0)</f>
        <v>0</v>
      </c>
      <c r="BT92" s="284">
        <f>IF(AC92&gt;0,Standing!$C$32*0.45,0)</f>
        <v>0</v>
      </c>
      <c r="BU92" s="280">
        <f>IF(AC92&gt;0,Standing!$C$36*0.9,0)</f>
        <v>0</v>
      </c>
      <c r="BV92" s="281">
        <f>IF(AC92&gt;0,Standing!$C$36*0.45,0)</f>
        <v>0</v>
      </c>
      <c r="BW92" s="282">
        <f>IF(AC92&gt;0,Standing!$C$126*0.66,0)</f>
        <v>0</v>
      </c>
      <c r="BX92" s="283">
        <f>IF(AC92&gt;0,Standing!$C$126*0.66,0)</f>
        <v>0</v>
      </c>
      <c r="BY92" s="284">
        <f>IF(AC92&gt;0,Standing!$C$126*0.4,0)</f>
        <v>0</v>
      </c>
      <c r="BZ92" s="280">
        <f>IF(AC92&gt;0,Standing!$C$126*0.33,0)</f>
        <v>0</v>
      </c>
      <c r="CA92" s="281">
        <f>IF(AC92&gt;0,Standing!$C$132*0.8,0)</f>
        <v>0</v>
      </c>
      <c r="CB92" s="282">
        <f>IF(AC92&gt;0,Standing!$C$132*0.66,0)</f>
        <v>0</v>
      </c>
      <c r="CC92" s="283">
        <f>IF(AC92&gt;0,Standing!$C$132*0.5,0)</f>
        <v>0</v>
      </c>
      <c r="CD92" s="284">
        <f>IF(AC92&gt;0,Standing!$C$132*0.5,0)</f>
        <v>0</v>
      </c>
      <c r="CE92" s="280">
        <f>IF(AC92&gt;0,Standing!$C$132*0.4,0)</f>
        <v>0</v>
      </c>
      <c r="CF92" s="281">
        <f>IF(AC92&gt;0,Standing!$C$132*0.66,0)</f>
        <v>0</v>
      </c>
      <c r="CG92" s="282">
        <f>IF(AC92&gt;0,Standing!$C$132*0.5,0)</f>
        <v>0</v>
      </c>
      <c r="CH92" s="283">
        <f>IF(AC92&gt;0,Standing!$C$132*0.5,0)</f>
        <v>0</v>
      </c>
      <c r="CI92" s="284">
        <f>IF(AC92&gt;0,Standing!$C$132*0.5,0)</f>
        <v>0</v>
      </c>
      <c r="CJ92" s="280">
        <f>IF(AC92&gt;0,Standing!$C$132*0.5,0)</f>
        <v>0</v>
      </c>
      <c r="CK92" s="281">
        <f>IF(AC92&gt;0,Standing!$C$126*0.55,0)</f>
        <v>0</v>
      </c>
      <c r="CL92" s="282">
        <f>IF(AC92&gt;0,Standing!$C$126*0.75,0)</f>
        <v>0</v>
      </c>
      <c r="CM92" s="283">
        <f>IF(AC92&gt;0,Standing!$C$126*0.7,0)</f>
        <v>0</v>
      </c>
      <c r="CN92" s="284">
        <f>IF(AC92&gt;0,Standing!$C$126*0.33,0)</f>
        <v>0</v>
      </c>
      <c r="CO92" s="280">
        <f>IF(AC92&gt;0,Standing!$C$126*0.4,0)</f>
        <v>0</v>
      </c>
      <c r="CP92" s="281">
        <f>IF(AC92&gt;0,Standing!$C$26*0.25,0)</f>
        <v>0</v>
      </c>
      <c r="CQ92" s="282">
        <f>IF(AC92&gt;0,Standing!$C$26*0.165,0)</f>
        <v>0</v>
      </c>
      <c r="CR92" s="283">
        <f>IF(AC92&gt;0,Standing!$C$26*0.2,0)</f>
        <v>0</v>
      </c>
      <c r="CS92" s="285">
        <f>IF(AC92&gt;0,Standing!$C$26*0.16,0)</f>
        <v>0</v>
      </c>
      <c r="CT92" s="286" t="s">
        <v>49</v>
      </c>
      <c r="CU92" s="286" t="s">
        <v>24</v>
      </c>
    </row>
    <row r="93" ht="15.75" customHeight="1">
      <c r="A93" s="51"/>
      <c r="B93" s="296" t="s">
        <v>548</v>
      </c>
      <c r="C93" s="189">
        <f>Standing!$C$32*0.45</f>
        <v>1.326038386</v>
      </c>
      <c r="D93" s="218">
        <f t="shared" si="3"/>
        <v>0.4220901406</v>
      </c>
      <c r="E93" s="190">
        <f t="shared" si="4"/>
        <v>33.681375</v>
      </c>
      <c r="F93" s="122">
        <f t="shared" si="5"/>
        <v>10.72108957</v>
      </c>
      <c r="G93" s="123">
        <f>C93/Introduction!$I$20</f>
        <v>0.01381289985</v>
      </c>
      <c r="H93" s="192">
        <f t="shared" si="6"/>
        <v>0.004396772298</v>
      </c>
      <c r="I93" s="124">
        <f>E93/Introduction!$I$20</f>
        <v>0.3508476562</v>
      </c>
      <c r="J93" s="125">
        <f t="shared" si="7"/>
        <v>0.1116780164</v>
      </c>
      <c r="K93" s="51"/>
      <c r="L93" s="51"/>
      <c r="M93" s="51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286"/>
      <c r="AB93" s="286" t="s">
        <v>25</v>
      </c>
      <c r="AC93" s="287">
        <f>IF('Ship Data Imperial'!E94&gt;0,'Ship Data Imperial'!E94,AD93)</f>
        <v>0</v>
      </c>
      <c r="AD93" s="287">
        <f>'Ship Data Metric'!E94*0.03280839895</f>
        <v>0</v>
      </c>
      <c r="AE93" s="284">
        <f>IF(AC93&gt;0,Standing!$C$75*0.45,0)</f>
        <v>0</v>
      </c>
      <c r="AF93" s="280">
        <f>IF(AC93&gt;0,Standing!$C$75*0.25,0)</f>
        <v>0</v>
      </c>
      <c r="AG93" s="281">
        <f>IF(AC93&gt;0,Standing!$C$75*0.165,0)</f>
        <v>0</v>
      </c>
      <c r="AH93" s="282">
        <f>IF(AC93&gt;0,Standing!$C$75*0.5,0)</f>
        <v>0</v>
      </c>
      <c r="AI93" s="283">
        <f>IF(AC93&gt;0,Standing!$C$75*0.16,0)</f>
        <v>0</v>
      </c>
      <c r="AJ93" s="284">
        <f>IF(AC93&gt;0,Standing!$C$75*0.2,0)</f>
        <v>0</v>
      </c>
      <c r="AK93" s="281">
        <f>IF(AC93&gt;0,Standing!$C$81*0.66,0)</f>
        <v>0</v>
      </c>
      <c r="AL93" s="282">
        <f t="shared" si="8"/>
        <v>0</v>
      </c>
      <c r="AM93" s="283">
        <f>IF(AC93&gt;0,Standing!$C$81*0.45,0)</f>
        <v>0</v>
      </c>
      <c r="AN93" s="284">
        <f>IF(AC93&gt;0,Standing!$C$81*0.55,0)</f>
        <v>0</v>
      </c>
      <c r="AO93" s="280">
        <f>IF(AC93&gt;0,Standing!$C$81*0.36,0)</f>
        <v>0</v>
      </c>
      <c r="AP93" s="281">
        <f>IF(AC93&gt;0,Standing!$C$81,0)</f>
        <v>0</v>
      </c>
      <c r="AQ93" s="282">
        <f>IF(AC93&gt;0,Standing!$C$85*0.9,0)</f>
        <v>0</v>
      </c>
      <c r="AR93" s="283">
        <f>IF(AC93&gt;0,Standing!$C$85*0.5,0)</f>
        <v>0</v>
      </c>
      <c r="AS93" s="284">
        <f>IF(AC93&gt;0,Standing!$C$85*0.55,0)</f>
        <v>0</v>
      </c>
      <c r="AT93" s="280">
        <f>IF(AC93&gt;0,Standing!$C$85*0.66,0)</f>
        <v>0</v>
      </c>
      <c r="AU93" s="281">
        <f>IF(AC93&gt;0,Standing!$C$75*0.2,0)</f>
        <v>0</v>
      </c>
      <c r="AV93" s="282">
        <f>IF(AC93&gt;0,Standing!$C$75*0.2,0)</f>
        <v>0</v>
      </c>
      <c r="AW93" s="283">
        <f>IF(AC93&gt;0,Standing!$C$26*0.33,0)</f>
        <v>0</v>
      </c>
      <c r="AX93" s="284">
        <f>IF(AC93&gt;0,Standing!$C$26*0.2,0)</f>
        <v>0</v>
      </c>
      <c r="AY93" s="280">
        <f>IF(AC93&gt;0,Standing!$C$26*0.25,0)</f>
        <v>0</v>
      </c>
      <c r="AZ93" s="281">
        <f>IF(AC93&gt;0,Standing!$C$26*0.33,0)</f>
        <v>0</v>
      </c>
      <c r="BA93" s="282">
        <f>IF(AC93&gt;0,Standing!$C$26*0.15,0)</f>
        <v>0</v>
      </c>
      <c r="BB93" s="283">
        <f>IF(AC93&gt;0,Standing!$C$26*0.125,0)</f>
        <v>0</v>
      </c>
      <c r="BC93" s="284">
        <f>IF(AC93&gt;0,Standing!$C$32*0.33,0)</f>
        <v>0</v>
      </c>
      <c r="BD93" s="280">
        <f>IF(AC93&gt;0,Standing!$C$32*0.5,0)</f>
        <v>0</v>
      </c>
      <c r="BE93" s="281">
        <f>IF(AC93&gt;0,Standing!$C$32*0.33,0)</f>
        <v>0</v>
      </c>
      <c r="BF93" s="282">
        <f>IF(AC93&gt;0,Standing!$C$32*0.33,0)</f>
        <v>0</v>
      </c>
      <c r="BG93" s="283">
        <f>IF(AC93&gt;0,Standing!$C$32*0.25,0)</f>
        <v>0</v>
      </c>
      <c r="BH93" s="284">
        <f>IF(AC93&gt;0,Standing!$C$32*0.33,0)</f>
        <v>0</v>
      </c>
      <c r="BI93" s="280">
        <f>IF(AC93&gt;0,Standing!$C$26*0.5,0)</f>
        <v>0</v>
      </c>
      <c r="BJ93" s="281">
        <f>IF(AC93&gt;0,Standing!$C$26*0.45,0)</f>
        <v>0</v>
      </c>
      <c r="BK93" s="282">
        <f>IF(AC93&gt;0,Standing!$C$26*0.5,0)</f>
        <v>0</v>
      </c>
      <c r="BL93" s="283">
        <f>IF(AC93&gt;0,Standing!$C$32*0.66,0)</f>
        <v>0</v>
      </c>
      <c r="BM93" s="281">
        <f>IF(AC93&gt;0,Standing!$C$32*0.9,0)</f>
        <v>0</v>
      </c>
      <c r="BN93" s="284">
        <f t="shared" si="9"/>
        <v>0</v>
      </c>
      <c r="BO93" s="282">
        <f>IF(AC93&gt;0,Standing!$C$32*0.5,0)</f>
        <v>0</v>
      </c>
      <c r="BP93" s="280">
        <f>IF(AC93&gt;0,Standing!$C$32*0.45,0)</f>
        <v>0</v>
      </c>
      <c r="BQ93" s="281">
        <f>IF(AC93&gt;0,Standing!$C$32*0.66,0)</f>
        <v>0</v>
      </c>
      <c r="BR93" s="282">
        <f>IF(AC93&gt;0,Standing!$C$32*0.33,0)</f>
        <v>0</v>
      </c>
      <c r="BS93" s="283">
        <f>IF(AC93&gt;0,Standing!$C$32*0.33,0)</f>
        <v>0</v>
      </c>
      <c r="BT93" s="284">
        <f>IF(AC93&gt;0,Standing!$C$32*0.45,0)</f>
        <v>0</v>
      </c>
      <c r="BU93" s="280">
        <f>IF(AC93&gt;0,Standing!$C$36*0.9,0)</f>
        <v>0</v>
      </c>
      <c r="BV93" s="281">
        <f>IF(AC93&gt;0,Standing!$C$36*0.45,0)</f>
        <v>0</v>
      </c>
      <c r="BW93" s="282">
        <f>IF(AC93&gt;0,Standing!$C$126*0.66,0)</f>
        <v>0</v>
      </c>
      <c r="BX93" s="283">
        <f>IF(AC93&gt;0,Standing!$C$126*0.66,0)</f>
        <v>0</v>
      </c>
      <c r="BY93" s="284">
        <f>IF(AC93&gt;0,Standing!$C$126*0.4,0)</f>
        <v>0</v>
      </c>
      <c r="BZ93" s="280">
        <f>IF(AC93&gt;0,Standing!$C$126*0.33,0)</f>
        <v>0</v>
      </c>
      <c r="CA93" s="281">
        <f>IF(AC93&gt;0,Standing!$C$132*0.8,0)</f>
        <v>0</v>
      </c>
      <c r="CB93" s="282">
        <f>IF(AC93&gt;0,Standing!$C$132*0.66,0)</f>
        <v>0</v>
      </c>
      <c r="CC93" s="283">
        <f>IF(AC93&gt;0,Standing!$C$132*0.5,0)</f>
        <v>0</v>
      </c>
      <c r="CD93" s="284">
        <f>IF(AC93&gt;0,Standing!$C$132*0.5,0)</f>
        <v>0</v>
      </c>
      <c r="CE93" s="280">
        <f>IF(AC93&gt;0,Standing!$C$132*0.4,0)</f>
        <v>0</v>
      </c>
      <c r="CF93" s="281">
        <f>IF(AC93&gt;0,Standing!$C$132*0.66,0)</f>
        <v>0</v>
      </c>
      <c r="CG93" s="282">
        <f>IF(AC93&gt;0,Standing!$C$132*0.5,0)</f>
        <v>0</v>
      </c>
      <c r="CH93" s="283">
        <f>IF(AC93&gt;0,Standing!$C$132*0.5,0)</f>
        <v>0</v>
      </c>
      <c r="CI93" s="284">
        <f>IF(AC93&gt;0,Standing!$C$132*0.5,0)</f>
        <v>0</v>
      </c>
      <c r="CJ93" s="280">
        <f>IF(AC93&gt;0,Standing!$C$132*0.5,0)</f>
        <v>0</v>
      </c>
      <c r="CK93" s="281">
        <f>IF(AC93&gt;0,Standing!$C$126*0.55,0)</f>
        <v>0</v>
      </c>
      <c r="CL93" s="282">
        <f>IF(AC93&gt;0,Standing!$C$126*0.75,0)</f>
        <v>0</v>
      </c>
      <c r="CM93" s="283">
        <f>IF(AC93&gt;0,Standing!$C$126*0.7,0)</f>
        <v>0</v>
      </c>
      <c r="CN93" s="284">
        <f>IF(AC93&gt;0,Standing!$C$126*0.33,0)</f>
        <v>0</v>
      </c>
      <c r="CO93" s="280">
        <f>IF(AC93&gt;0,Standing!$C$126*0.4,0)</f>
        <v>0</v>
      </c>
      <c r="CP93" s="281">
        <f>IF(AC93&gt;0,Standing!$C$26*0.25,0)</f>
        <v>0</v>
      </c>
      <c r="CQ93" s="282">
        <f>IF(AC93&gt;0,Standing!$C$26*0.165,0)</f>
        <v>0</v>
      </c>
      <c r="CR93" s="283">
        <f>IF(AC93&gt;0,Standing!$C$26*0.2,0)</f>
        <v>0</v>
      </c>
      <c r="CS93" s="285">
        <f>IF(AC93&gt;0,Standing!$C$26*0.16,0)</f>
        <v>0</v>
      </c>
      <c r="CT93" s="286"/>
      <c r="CU93" s="286" t="s">
        <v>25</v>
      </c>
    </row>
    <row r="94" ht="15.75" customHeight="1">
      <c r="A94" s="51"/>
      <c r="B94" s="296" t="s">
        <v>549</v>
      </c>
      <c r="C94" s="189">
        <f>Standing!$C$32*0.9</f>
        <v>2.652076772</v>
      </c>
      <c r="D94" s="218">
        <f t="shared" si="3"/>
        <v>0.8441802813</v>
      </c>
      <c r="E94" s="190">
        <f t="shared" si="4"/>
        <v>67.36275</v>
      </c>
      <c r="F94" s="122">
        <f t="shared" si="5"/>
        <v>21.44217914</v>
      </c>
      <c r="G94" s="123">
        <f>C94/Introduction!$I$20</f>
        <v>0.0276257997</v>
      </c>
      <c r="H94" s="192">
        <f t="shared" si="6"/>
        <v>0.008793544597</v>
      </c>
      <c r="I94" s="124">
        <f>E94/Introduction!$I$20</f>
        <v>0.7016953125</v>
      </c>
      <c r="J94" s="125">
        <f t="shared" si="7"/>
        <v>0.2233560328</v>
      </c>
      <c r="K94" s="51"/>
      <c r="L94" s="51"/>
      <c r="M94" s="51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286"/>
      <c r="AB94" s="286" t="s">
        <v>26</v>
      </c>
      <c r="AC94" s="287">
        <f>IF('Ship Data Imperial'!E95&gt;0,'Ship Data Imperial'!E95,AD94)</f>
        <v>0</v>
      </c>
      <c r="AD94" s="287">
        <f>'Ship Data Metric'!E95*0.03280839895</f>
        <v>0</v>
      </c>
      <c r="AE94" s="284">
        <f>IF(AC94&gt;0,Standing!$C$75*0.45,0)</f>
        <v>0</v>
      </c>
      <c r="AF94" s="280">
        <f>IF(AC94&gt;0,Standing!$C$75*0.25,0)</f>
        <v>0</v>
      </c>
      <c r="AG94" s="281">
        <f>IF(AC94&gt;0,Standing!$C$75*0.2,0)</f>
        <v>0</v>
      </c>
      <c r="AH94" s="282">
        <f>IF(AC94&gt;0,Standing!$C$75*0.5,0)</f>
        <v>0</v>
      </c>
      <c r="AI94" s="283">
        <f>IF(AC94&gt;0,Standing!$C$75*0.2,0)</f>
        <v>0</v>
      </c>
      <c r="AJ94" s="284">
        <f>IF(AC94&gt;0,Standing!$C$75*0.25,0)</f>
        <v>0</v>
      </c>
      <c r="AK94" s="281">
        <f>IF(AC94&gt;0,Standing!$C$81*0.8,0)</f>
        <v>0</v>
      </c>
      <c r="AL94" s="282">
        <f t="shared" si="8"/>
        <v>0</v>
      </c>
      <c r="AM94" s="283">
        <f>IF(AC94&gt;0,Standing!$C$81*0.45,0)</f>
        <v>0</v>
      </c>
      <c r="AN94" s="284">
        <f>IF(AC94&gt;0,Standing!$C$81*0.55,0)</f>
        <v>0</v>
      </c>
      <c r="AO94" s="280">
        <f>IF(AC94&gt;0,Standing!$C$81*0.36,0)</f>
        <v>0</v>
      </c>
      <c r="AP94" s="281">
        <f>IF(AC94&gt;0,Standing!$C$81*0.9,0)</f>
        <v>0</v>
      </c>
      <c r="AQ94" s="282">
        <f>IF(AC94&gt;0,Standing!$C$85*0.9,0)</f>
        <v>0</v>
      </c>
      <c r="AR94" s="283">
        <f>IF(AC94&gt;0,Standing!$C$85*0.5,0)</f>
        <v>0</v>
      </c>
      <c r="AS94" s="284">
        <f>IF(AC94&gt;0,Standing!$C$85*0.55,0)</f>
        <v>0</v>
      </c>
      <c r="AT94" s="280">
        <f>IF(AC94&gt;0,Standing!$C$85*0.66,0)</f>
        <v>0</v>
      </c>
      <c r="AU94" s="281">
        <f>IF(AC94&gt;0,Standing!$C$75*0.2,0)</f>
        <v>0</v>
      </c>
      <c r="AV94" s="282">
        <f>IF(AC94&gt;0,Standing!$C$75*0.2,0)</f>
        <v>0</v>
      </c>
      <c r="AW94" s="283">
        <f>IF(AC94&gt;0,Standing!$C$26*0.33,0)</f>
        <v>0</v>
      </c>
      <c r="AX94" s="284">
        <f>IF(AC94&gt;0,Standing!$C$26*0.2,0)</f>
        <v>0</v>
      </c>
      <c r="AY94" s="280">
        <f>IF(AC94&gt;0,Standing!$C$26*0.25,0)</f>
        <v>0</v>
      </c>
      <c r="AZ94" s="281">
        <f>IF(AC94&gt;0,Standing!$C$26*0.33,0)</f>
        <v>0</v>
      </c>
      <c r="BA94" s="282">
        <f>IF(AC94&gt;0,Standing!$C$26*0.15,0)</f>
        <v>0</v>
      </c>
      <c r="BB94" s="283">
        <f>IF(AC94&gt;0,Standing!$C$26*0.125,0)</f>
        <v>0</v>
      </c>
      <c r="BC94" s="284">
        <f>IF(AC94&gt;0,Standing!$C$32*0.33,0)</f>
        <v>0</v>
      </c>
      <c r="BD94" s="280">
        <f>IF(AC94&gt;0,Standing!$C$32*0.5,0)</f>
        <v>0</v>
      </c>
      <c r="BE94" s="281">
        <f>IF(AC94&gt;0,Standing!$C$32*0.33,0)</f>
        <v>0</v>
      </c>
      <c r="BF94" s="282">
        <f>IF(AC94&gt;0,Standing!$C$32*0.33,0)</f>
        <v>0</v>
      </c>
      <c r="BG94" s="283">
        <f>IF(AC94&gt;0,Standing!$C$32*0.25,0)</f>
        <v>0</v>
      </c>
      <c r="BH94" s="284">
        <f>IF(AC94&gt;0,Standing!$C$32*0.4,0)</f>
        <v>0</v>
      </c>
      <c r="BI94" s="280">
        <f>IF(AC94&gt;0,Standing!$C$26*0.5,0)</f>
        <v>0</v>
      </c>
      <c r="BJ94" s="281">
        <f>IF(AC94&gt;0,Standing!$C$26*0.45,0)</f>
        <v>0</v>
      </c>
      <c r="BK94" s="282">
        <f>IF(AC94&gt;0,Standing!$C$26*0.5,0)</f>
        <v>0</v>
      </c>
      <c r="BL94" s="283">
        <f>IF(AC94&gt;0,Standing!$C$32*0.66,0)</f>
        <v>0</v>
      </c>
      <c r="BM94" s="281">
        <f>IF(AC94&gt;0,Standing!$C$32*0.85,0)</f>
        <v>0</v>
      </c>
      <c r="BN94" s="284">
        <f t="shared" si="9"/>
        <v>0</v>
      </c>
      <c r="BO94" s="282">
        <f>IF(AC94&gt;0,Standing!$C$32*0.5,0)</f>
        <v>0</v>
      </c>
      <c r="BP94" s="280">
        <f>IF(AC94&gt;0,Standing!$C$32*0.45,0)</f>
        <v>0</v>
      </c>
      <c r="BQ94" s="281">
        <f>IF(AC94&gt;0,Standing!$C$32*0.66,0)</f>
        <v>0</v>
      </c>
      <c r="BR94" s="282">
        <f>IF(AC94&gt;0,Standing!$C$32*0.33,0)</f>
        <v>0</v>
      </c>
      <c r="BS94" s="283">
        <f>IF(AC94&gt;0,Standing!$C$32*0.33,0)</f>
        <v>0</v>
      </c>
      <c r="BT94" s="284">
        <f>IF(AC94&gt;0,Standing!$C$32*0.45,0)</f>
        <v>0</v>
      </c>
      <c r="BU94" s="280">
        <f>IF(AC94&gt;0,Standing!$C$36*0.9,0)</f>
        <v>0</v>
      </c>
      <c r="BV94" s="281">
        <f>IF(AC94&gt;0,Standing!$C$36*0.45,0)</f>
        <v>0</v>
      </c>
      <c r="BW94" s="282">
        <f>IF(AC94&gt;0,Standing!$C$126*0.66,0)</f>
        <v>0</v>
      </c>
      <c r="BX94" s="283">
        <f>IF(AC94&gt;0,Standing!$C$126*0.66,0)</f>
        <v>0</v>
      </c>
      <c r="BY94" s="284">
        <f>IF(AC94&gt;0,Standing!$C$126*0.4,0)</f>
        <v>0</v>
      </c>
      <c r="BZ94" s="280">
        <f>IF(AC94&gt;0,Standing!$C$126*0.33,0)</f>
        <v>0</v>
      </c>
      <c r="CA94" s="281">
        <f>IF(AC94&gt;0,Standing!$C$132*0.8,0)</f>
        <v>0</v>
      </c>
      <c r="CB94" s="282">
        <f>IF(AC94&gt;0,Standing!$C$132*0.66,0)</f>
        <v>0</v>
      </c>
      <c r="CC94" s="283">
        <f>IF(AC94&gt;0,Standing!$C$132*0.5,0)</f>
        <v>0</v>
      </c>
      <c r="CD94" s="284">
        <f>IF(AC94&gt;0,Standing!$C$132*0.5,0)</f>
        <v>0</v>
      </c>
      <c r="CE94" s="280">
        <f>IF(AC94&gt;0,Standing!$C$132*0.4,0)</f>
        <v>0</v>
      </c>
      <c r="CF94" s="281">
        <f>IF(AC94&gt;0,Standing!$C$132*0.66,0)</f>
        <v>0</v>
      </c>
      <c r="CG94" s="282">
        <f>IF(AC94&gt;0,Standing!$C$132*0.5,0)</f>
        <v>0</v>
      </c>
      <c r="CH94" s="283">
        <f>IF(AC94&gt;0,Standing!$C$132*0.5,0)</f>
        <v>0</v>
      </c>
      <c r="CI94" s="284">
        <f>IF(AC94&gt;0,Standing!$C$132*0.5,0)</f>
        <v>0</v>
      </c>
      <c r="CJ94" s="280">
        <f>IF(AC94&gt;0,Standing!$C$132*0.5,0)</f>
        <v>0</v>
      </c>
      <c r="CK94" s="281">
        <f>IF(AC94&gt;0,Standing!$C$126*0.55,0)</f>
        <v>0</v>
      </c>
      <c r="CL94" s="282">
        <f>IF(AC94&gt;0,Standing!$C$126*0.75,0)</f>
        <v>0</v>
      </c>
      <c r="CM94" s="283">
        <f>IF(AC94&gt;0,Standing!$C$126*0.7,0)</f>
        <v>0</v>
      </c>
      <c r="CN94" s="284">
        <f>IF(AC94&gt;0,Standing!$C$126*0.33,0)</f>
        <v>0</v>
      </c>
      <c r="CO94" s="280">
        <f>IF(AC94&gt;0,Standing!$C$126*0.4,0)</f>
        <v>0</v>
      </c>
      <c r="CP94" s="281">
        <f>IF(AC94&gt;0,Standing!$C$26*0.25,0)</f>
        <v>0</v>
      </c>
      <c r="CQ94" s="282">
        <f>IF(AC94&gt;0,Standing!$C$26*0.2,0)</f>
        <v>0</v>
      </c>
      <c r="CR94" s="283">
        <f>IF(AC94&gt;0,Standing!$C$26*0.25,0)</f>
        <v>0</v>
      </c>
      <c r="CS94" s="285">
        <f>IF(AC94&gt;0,Standing!$C$26*0.2,0)</f>
        <v>0</v>
      </c>
      <c r="CT94" s="286"/>
      <c r="CU94" s="286" t="s">
        <v>26</v>
      </c>
    </row>
    <row r="95" ht="15.75" customHeight="1">
      <c r="A95" s="51"/>
      <c r="B95" s="296" t="s">
        <v>550</v>
      </c>
      <c r="C95" s="189">
        <f>IF(Standing!$C$32*0.55&gt;2,Standing!$C$32*0.55,2)</f>
        <v>2</v>
      </c>
      <c r="D95" s="218">
        <f t="shared" si="3"/>
        <v>0.6366182837</v>
      </c>
      <c r="E95" s="190">
        <f t="shared" si="4"/>
        <v>50.8</v>
      </c>
      <c r="F95" s="122">
        <f t="shared" si="5"/>
        <v>16.17010441</v>
      </c>
      <c r="G95" s="123">
        <f>C95/Introduction!$I$20</f>
        <v>0.02083333333</v>
      </c>
      <c r="H95" s="192">
        <f t="shared" si="6"/>
        <v>0.006631440455</v>
      </c>
      <c r="I95" s="124">
        <f>E95/Introduction!$I$20</f>
        <v>0.5291666667</v>
      </c>
      <c r="J95" s="125">
        <f t="shared" si="7"/>
        <v>0.1684385876</v>
      </c>
      <c r="K95" s="51"/>
      <c r="L95" s="51"/>
      <c r="M95" s="51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286"/>
      <c r="AB95" s="286" t="s">
        <v>27</v>
      </c>
      <c r="AC95" s="287">
        <f>IF('Ship Data Imperial'!E96&gt;0,'Ship Data Imperial'!E96,AD95)</f>
        <v>0</v>
      </c>
      <c r="AD95" s="287">
        <f>'Ship Data Metric'!E96*0.03280839895</f>
        <v>0</v>
      </c>
      <c r="AE95" s="284">
        <f>IF(AC95&gt;0,Standing!$C$75*0.45,0)</f>
        <v>0</v>
      </c>
      <c r="AF95" s="280">
        <f>IF(AC95&gt;0,Standing!$C$75*0.33,0)</f>
        <v>0</v>
      </c>
      <c r="AG95" s="281">
        <f>IF(AC95&gt;0,Standing!$C$75*0.2,0)</f>
        <v>0</v>
      </c>
      <c r="AH95" s="282">
        <f>IF(AC95&gt;0,Standing!$C$75*0.5,0)</f>
        <v>0</v>
      </c>
      <c r="AI95" s="283">
        <f>IF(AC95&gt;0,Standing!$C$75*0.2,0)</f>
        <v>0</v>
      </c>
      <c r="AJ95" s="284">
        <f>IF(AC95&gt;0,Standing!$C$75*0.25,0)</f>
        <v>0</v>
      </c>
      <c r="AK95" s="281">
        <f>IF(AC95&gt;0,Standing!$C$81*0.8,0)</f>
        <v>0</v>
      </c>
      <c r="AL95" s="282">
        <f t="shared" si="8"/>
        <v>0</v>
      </c>
      <c r="AM95" s="283">
        <f>IF(AC95&gt;0,Standing!$C$81*0.45,0)</f>
        <v>0</v>
      </c>
      <c r="AN95" s="284">
        <f>IF(AC95&gt;0,Standing!$C$81*0.55,0)</f>
        <v>0</v>
      </c>
      <c r="AO95" s="280">
        <f>IF(AC95&gt;0,Standing!$C$81*0.36,0)</f>
        <v>0</v>
      </c>
      <c r="AP95" s="281">
        <f>IF(AC95&gt;0,Standing!$C$81*0.9,0)</f>
        <v>0</v>
      </c>
      <c r="AQ95" s="282">
        <f>IF(AC95&gt;0,Standing!$C$85*0.9,0)</f>
        <v>0</v>
      </c>
      <c r="AR95" s="283">
        <f>IF(AC95&gt;0,Standing!$C$85*0.5,0)</f>
        <v>0</v>
      </c>
      <c r="AS95" s="284">
        <f>IF(AC95&gt;0,Standing!$C$85*0.55,0)</f>
        <v>0</v>
      </c>
      <c r="AT95" s="280">
        <f>IF(AC95&gt;0,Standing!$C$85*0.66,0)</f>
        <v>0</v>
      </c>
      <c r="AU95" s="281">
        <f>IF(AC95&gt;0,Standing!$C$75*0.25,0)</f>
        <v>0</v>
      </c>
      <c r="AV95" s="282">
        <f>IF(AC95&gt;0,Standing!$C$75*0.2,0)</f>
        <v>0</v>
      </c>
      <c r="AW95" s="283">
        <f>IF(AC95&gt;0,Standing!$C$26*0.33,0)</f>
        <v>0</v>
      </c>
      <c r="AX95" s="284">
        <f>IF(AC95&gt;0,Standing!$C$26*0.2,0)</f>
        <v>0</v>
      </c>
      <c r="AY95" s="280">
        <f>IF(AC95&gt;0,Standing!$C$26*0.25,0)</f>
        <v>0</v>
      </c>
      <c r="AZ95" s="281">
        <f>IF(AC95&gt;0,Standing!$C$26*0.33,0)</f>
        <v>0</v>
      </c>
      <c r="BA95" s="282">
        <f>IF(AC95&gt;0,Standing!$C$26*0.15,0)</f>
        <v>0</v>
      </c>
      <c r="BB95" s="283">
        <f>IF(AC95&gt;0,Standing!$C$26*0.125,0)</f>
        <v>0</v>
      </c>
      <c r="BC95" s="284">
        <f>IF(AC95&gt;0,Standing!$C$32*0.33,0)</f>
        <v>0</v>
      </c>
      <c r="BD95" s="280">
        <f>IF(AC95&gt;0,Standing!$C$32*0.5,0)</f>
        <v>0</v>
      </c>
      <c r="BE95" s="281">
        <f>IF(AC95&gt;0,Standing!$C$32*0.33,0)</f>
        <v>0</v>
      </c>
      <c r="BF95" s="282">
        <f>IF(AC95&gt;0,Standing!$C$32*0.33,0)</f>
        <v>0</v>
      </c>
      <c r="BG95" s="283">
        <f>IF(AC95&gt;0,Standing!$C$32*0.3,0)</f>
        <v>0</v>
      </c>
      <c r="BH95" s="284">
        <f>IF(AC95&gt;0,Standing!$C$32*0.4,0)</f>
        <v>0</v>
      </c>
      <c r="BI95" s="280">
        <f>IF(AC95&gt;0,Standing!$C$26*0.5,0)</f>
        <v>0</v>
      </c>
      <c r="BJ95" s="281">
        <f>IF(AC95&gt;0,Standing!$C$26*0.45,0)</f>
        <v>0</v>
      </c>
      <c r="BK95" s="282">
        <f>IF(AC95&gt;0,Standing!$C$26*0.5,0)</f>
        <v>0</v>
      </c>
      <c r="BL95" s="283">
        <f>IF(AC95&gt;0,Standing!$C$32*0.66,0)</f>
        <v>0</v>
      </c>
      <c r="BM95" s="281">
        <f>IF(AC95&gt;0,Standing!$C$32*0.85,0)</f>
        <v>0</v>
      </c>
      <c r="BN95" s="284">
        <f t="shared" si="9"/>
        <v>0</v>
      </c>
      <c r="BO95" s="282">
        <f>IF(AC95&gt;0,Standing!$C$32*0.45,0)</f>
        <v>0</v>
      </c>
      <c r="BP95" s="280">
        <f>IF(AC95&gt;0,Standing!$C$32*0.45,0)</f>
        <v>0</v>
      </c>
      <c r="BQ95" s="281">
        <f>IF(AC95&gt;0,Standing!$C$32*0.66,0)</f>
        <v>0</v>
      </c>
      <c r="BR95" s="282">
        <f>IF(AC95&gt;0,Standing!$C$32*0.33,0)</f>
        <v>0</v>
      </c>
      <c r="BS95" s="283">
        <f>IF(AC95&gt;0,Standing!$C$32*0.33,0)</f>
        <v>0</v>
      </c>
      <c r="BT95" s="284">
        <f>IF(AC95&gt;0,Standing!$C$32*0.45,0)</f>
        <v>0</v>
      </c>
      <c r="BU95" s="280">
        <f>IF(AC95&gt;0,Standing!$C$36*0.9,0)</f>
        <v>0</v>
      </c>
      <c r="BV95" s="281">
        <f>IF(AC95&gt;0,Standing!$C$36*0.45,0)</f>
        <v>0</v>
      </c>
      <c r="BW95" s="282">
        <f>IF(AC95&gt;0,Standing!$C$126*0.66,0)</f>
        <v>0</v>
      </c>
      <c r="BX95" s="283">
        <f>IF(AC95&gt;0,Standing!$C$126*0.66,0)</f>
        <v>0</v>
      </c>
      <c r="BY95" s="284">
        <f>IF(AC95&gt;0,Standing!$C$126*0.4,0)</f>
        <v>0</v>
      </c>
      <c r="BZ95" s="280">
        <f>IF(AC95&gt;0,Standing!$C$126*0.33,0)</f>
        <v>0</v>
      </c>
      <c r="CA95" s="281">
        <f>IF(AC95&gt;0,Standing!$C$132,0)</f>
        <v>0</v>
      </c>
      <c r="CB95" s="282">
        <f>IF(AC95&gt;0,Standing!$C$132*0.66,0)</f>
        <v>0</v>
      </c>
      <c r="CC95" s="283">
        <f>IF(AC95&gt;0,Standing!$C$132*0.5,0)</f>
        <v>0</v>
      </c>
      <c r="CD95" s="284">
        <f>IF(AC95&gt;0,Standing!$C$132*0.5,0)</f>
        <v>0</v>
      </c>
      <c r="CE95" s="280">
        <f>IF(AC95&gt;0,Standing!$C$132*0.5,0)</f>
        <v>0</v>
      </c>
      <c r="CF95" s="281">
        <f>IF(AC95&gt;0,Standing!$C$132*0.66,0)</f>
        <v>0</v>
      </c>
      <c r="CG95" s="282">
        <f>IF(AC95&gt;0,Standing!$C$132*0.5,0)</f>
        <v>0</v>
      </c>
      <c r="CH95" s="283">
        <f>IF(AC95&gt;0,Standing!$C$132*0.5,0)</f>
        <v>0</v>
      </c>
      <c r="CI95" s="284">
        <f>IF(AC95&gt;0,Standing!$C$132*0.5,0)</f>
        <v>0</v>
      </c>
      <c r="CJ95" s="280">
        <f>IF(AC95&gt;0,Standing!$C$132*0.5,0)</f>
        <v>0</v>
      </c>
      <c r="CK95" s="281">
        <f>IF(AC95&gt;0,Standing!$C$126*0.55,0)</f>
        <v>0</v>
      </c>
      <c r="CL95" s="282">
        <f>IF(AC95&gt;0,Standing!$C$126*0.75,0)</f>
        <v>0</v>
      </c>
      <c r="CM95" s="283">
        <f>IF(AC95&gt;0,Standing!$C$126*0.7,0)</f>
        <v>0</v>
      </c>
      <c r="CN95" s="284">
        <f>IF(AC95&gt;0,Standing!$C$126*0.33,0)</f>
        <v>0</v>
      </c>
      <c r="CO95" s="280">
        <f>IF(AC95&gt;0,Standing!$C$126*0.4,0)</f>
        <v>0</v>
      </c>
      <c r="CP95" s="281">
        <f>IF(AC95&gt;0,Standing!$C$26*0.33,0)</f>
        <v>0</v>
      </c>
      <c r="CQ95" s="282">
        <f>IF(AC95&gt;0,Standing!$C$26*0.2,0)</f>
        <v>0</v>
      </c>
      <c r="CR95" s="283">
        <f>IF(AC95&gt;0,Standing!$C$26*0.25,0)</f>
        <v>0</v>
      </c>
      <c r="CS95" s="285">
        <f>IF(AC95&gt;0,Standing!$C$26*0.2,0)</f>
        <v>0</v>
      </c>
      <c r="CT95" s="286"/>
      <c r="CU95" s="286" t="s">
        <v>27</v>
      </c>
    </row>
    <row r="96" ht="15.75" customHeight="1">
      <c r="A96" s="51"/>
      <c r="B96" s="296" t="s">
        <v>551</v>
      </c>
      <c r="C96" s="189">
        <f>IF(Standing!$C$32*0.36&gt;2,Standing!$C$32*0.36,2)</f>
        <v>2</v>
      </c>
      <c r="D96" s="218">
        <f t="shared" si="3"/>
        <v>0.6366182837</v>
      </c>
      <c r="E96" s="190">
        <f t="shared" si="4"/>
        <v>50.8</v>
      </c>
      <c r="F96" s="122">
        <f t="shared" si="5"/>
        <v>16.17010441</v>
      </c>
      <c r="G96" s="123">
        <f>C96/Introduction!$I$20</f>
        <v>0.02083333333</v>
      </c>
      <c r="H96" s="192">
        <f t="shared" si="6"/>
        <v>0.006631440455</v>
      </c>
      <c r="I96" s="124">
        <f>E96/Introduction!$I$20</f>
        <v>0.5291666667</v>
      </c>
      <c r="J96" s="125">
        <f t="shared" si="7"/>
        <v>0.1684385876</v>
      </c>
      <c r="K96" s="51"/>
      <c r="L96" s="51"/>
      <c r="M96" s="51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286"/>
      <c r="AB96" s="286" t="s">
        <v>28</v>
      </c>
      <c r="AC96" s="287">
        <f>IF('Ship Data Imperial'!E97&gt;0,'Ship Data Imperial'!E97,AD96)</f>
        <v>0</v>
      </c>
      <c r="AD96" s="287">
        <f>'Ship Data Metric'!E97*0.03280839895</f>
        <v>0</v>
      </c>
      <c r="AE96" s="284">
        <f>IF(AC96&gt;0,Standing!$C$75*0.65,0)</f>
        <v>0</v>
      </c>
      <c r="AF96" s="280">
        <f>IF(AC96&gt;0,Standing!$C$75*0.33,0)</f>
        <v>0</v>
      </c>
      <c r="AG96" s="281">
        <f>IF(AC96&gt;0,Standing!$C$75*0.2,0)</f>
        <v>0</v>
      </c>
      <c r="AH96" s="282">
        <f>IF(AC96&gt;0,Standing!$C$75*0.5,0)</f>
        <v>0</v>
      </c>
      <c r="AI96" s="283">
        <f>IF(AC96&gt;0,Standing!$C$75*0.2,0)</f>
        <v>0</v>
      </c>
      <c r="AJ96" s="284">
        <f>IF(AC96&gt;0,Standing!$C$75*0.25,0)</f>
        <v>0</v>
      </c>
      <c r="AK96" s="281">
        <f>IF(AC96&gt;0,Standing!$C$81*0.8,0)</f>
        <v>0</v>
      </c>
      <c r="AL96" s="282">
        <f t="shared" si="8"/>
        <v>0</v>
      </c>
      <c r="AM96" s="283">
        <f>IF(AC96&gt;0,Standing!$C$81*0.45,0)</f>
        <v>0</v>
      </c>
      <c r="AN96" s="284">
        <f>IF(AC96&gt;0,Standing!$C$81*0.55,0)</f>
        <v>0</v>
      </c>
      <c r="AO96" s="280">
        <f>IF(AC96&gt;0,Standing!$C$81*0.36,0)</f>
        <v>0</v>
      </c>
      <c r="AP96" s="281">
        <f>IF(AC96&gt;0,Standing!$C$81*0.9,0)</f>
        <v>0</v>
      </c>
      <c r="AQ96" s="282">
        <f>IF(AC96&gt;0,Standing!$C$85*0.9,0)</f>
        <v>0</v>
      </c>
      <c r="AR96" s="283">
        <f>IF(AC96&gt;0,Standing!$C$85*0.5,0)</f>
        <v>0</v>
      </c>
      <c r="AS96" s="284">
        <f>IF(AC96&gt;0,Standing!$C$85*0.55,0)</f>
        <v>0</v>
      </c>
      <c r="AT96" s="280">
        <f>IF(AC96&gt;0,Standing!$C$85*0.66,0)</f>
        <v>0</v>
      </c>
      <c r="AU96" s="281">
        <f>IF(AC96&gt;0,Standing!$C$75*0.25,0)</f>
        <v>0</v>
      </c>
      <c r="AV96" s="282">
        <f>IF(AC96&gt;0,Standing!$C$75*0.2,0)</f>
        <v>0</v>
      </c>
      <c r="AW96" s="283">
        <f>IF(AC96&gt;0,Standing!$C$26*0.33,0)</f>
        <v>0</v>
      </c>
      <c r="AX96" s="284">
        <f>IF(AC96&gt;0,Standing!$C$26*0.2,0)</f>
        <v>0</v>
      </c>
      <c r="AY96" s="280">
        <f>IF(AC96&gt;0,Standing!$C$26*0.25,0)</f>
        <v>0</v>
      </c>
      <c r="AZ96" s="281">
        <f>IF(AC96&gt;0,Standing!$C$26*0.33,0)</f>
        <v>0</v>
      </c>
      <c r="BA96" s="282">
        <f>IF(AC96&gt;0,Standing!$C$26*0.15,0)</f>
        <v>0</v>
      </c>
      <c r="BB96" s="283">
        <f>IF(AC96&gt;0,Standing!$C$26*0.125,0)</f>
        <v>0</v>
      </c>
      <c r="BC96" s="284">
        <f>IF(AC96&gt;0,Standing!$C$32*0.33,0)</f>
        <v>0</v>
      </c>
      <c r="BD96" s="280">
        <f>IF(AC96&gt;0,Standing!$C$32*0.5,0)</f>
        <v>0</v>
      </c>
      <c r="BE96" s="281">
        <f>IF(AC96&gt;0,Standing!$C$32*0.33,0)</f>
        <v>0</v>
      </c>
      <c r="BF96" s="282">
        <f>IF(AC96&gt;0,Standing!$C$32*0.33,0)</f>
        <v>0</v>
      </c>
      <c r="BG96" s="283">
        <f>IF(AC96&gt;0,Standing!$C$32*0.3,0)</f>
        <v>0</v>
      </c>
      <c r="BH96" s="284">
        <f>IF(AC96&gt;0,Standing!$C$32*0.4,0)</f>
        <v>0</v>
      </c>
      <c r="BI96" s="280">
        <f>IF(AC96&gt;0,Standing!$C$26*0.75,0)</f>
        <v>0</v>
      </c>
      <c r="BJ96" s="281">
        <f>IF(AC96&gt;0,Standing!$C$26*0.65,0)</f>
        <v>0</v>
      </c>
      <c r="BK96" s="282">
        <f>IF(AC96&gt;0,Standing!$C$26*0.5,0)</f>
        <v>0</v>
      </c>
      <c r="BL96" s="283">
        <f>IF(AC96&gt;0,Standing!$C$32*0.66,0)</f>
        <v>0</v>
      </c>
      <c r="BM96" s="281">
        <f>IF(AC96&gt;0,Standing!$C$32*0.85,0)</f>
        <v>0</v>
      </c>
      <c r="BN96" s="284">
        <f t="shared" si="9"/>
        <v>0</v>
      </c>
      <c r="BO96" s="282">
        <f>IF(AC96&gt;0,Standing!$C$32*0.45,0)</f>
        <v>0</v>
      </c>
      <c r="BP96" s="280">
        <f>IF(AC96&gt;0,Standing!$C$32*0.45,0)</f>
        <v>0</v>
      </c>
      <c r="BQ96" s="281">
        <f>IF(AC96&gt;0,Standing!$C$32*0.66,0)</f>
        <v>0</v>
      </c>
      <c r="BR96" s="282">
        <f>IF(AC96&gt;0,Standing!$C$32*0.33,0)</f>
        <v>0</v>
      </c>
      <c r="BS96" s="283">
        <f>IF(AC96&gt;0,Standing!$C$32*0.33,0)</f>
        <v>0</v>
      </c>
      <c r="BT96" s="284">
        <f>IF(AC96&gt;0,Standing!$C$32*0.45,0)</f>
        <v>0</v>
      </c>
      <c r="BU96" s="280">
        <f>IF(AC96&gt;0,Standing!$C$36*0.9,0)</f>
        <v>0</v>
      </c>
      <c r="BV96" s="281">
        <f>IF(AC96&gt;0,Standing!$C$36*0.45,0)</f>
        <v>0</v>
      </c>
      <c r="BW96" s="282">
        <f>IF(AC96&gt;0,Standing!$C$126*0.66,0)</f>
        <v>0</v>
      </c>
      <c r="BX96" s="283">
        <f>IF(AC96&gt;0,Standing!$C$126*0.66,0)</f>
        <v>0</v>
      </c>
      <c r="BY96" s="284">
        <f>IF(AC96&gt;0,Standing!$C$126*0.4,0)</f>
        <v>0</v>
      </c>
      <c r="BZ96" s="280">
        <f>IF(AC96&gt;0,Standing!$C$126*0.33,0)</f>
        <v>0</v>
      </c>
      <c r="CA96" s="281">
        <f>IF(AC96&gt;0,Standing!$C$132,0)</f>
        <v>0</v>
      </c>
      <c r="CB96" s="282">
        <f>IF(AC96&gt;0,Standing!$C$132*0.66,0)</f>
        <v>0</v>
      </c>
      <c r="CC96" s="283">
        <f>IF(AC96&gt;0,Standing!$C$132*0.5,0)</f>
        <v>0</v>
      </c>
      <c r="CD96" s="284">
        <f>IF(AC96&gt;0,Standing!$C$132*0.5,0)</f>
        <v>0</v>
      </c>
      <c r="CE96" s="280">
        <f>IF(AC96&gt;0,Standing!$C$132*0.5,0)</f>
        <v>0</v>
      </c>
      <c r="CF96" s="281">
        <f>IF(AC96&gt;0,Standing!$C$132*0.66,0)</f>
        <v>0</v>
      </c>
      <c r="CG96" s="282">
        <f>IF(AC96&gt;0,Standing!$C$132*0.5,0)</f>
        <v>0</v>
      </c>
      <c r="CH96" s="283">
        <f>IF(AC96&gt;0,Standing!$C$132*0.5,0)</f>
        <v>0</v>
      </c>
      <c r="CI96" s="284">
        <f>IF(AC96&gt;0,Standing!$C$132*0.5,0)</f>
        <v>0</v>
      </c>
      <c r="CJ96" s="280">
        <f>IF(AC96&gt;0,Standing!$C$132*0.5,0)</f>
        <v>0</v>
      </c>
      <c r="CK96" s="281">
        <f>IF(AC96&gt;0,Standing!$C$126*0.55,0)</f>
        <v>0</v>
      </c>
      <c r="CL96" s="282">
        <f>IF(AC96&gt;0,Standing!$C$126*0.75,0)</f>
        <v>0</v>
      </c>
      <c r="CM96" s="283">
        <f>IF(AC96&gt;0,Standing!$C$126*0.7,0)</f>
        <v>0</v>
      </c>
      <c r="CN96" s="284">
        <f>IF(AC96&gt;0,Standing!$C$126*0.33,0)</f>
        <v>0</v>
      </c>
      <c r="CO96" s="280">
        <f>IF(AC96&gt;0,Standing!$C$126*0.4,0)</f>
        <v>0</v>
      </c>
      <c r="CP96" s="281">
        <f>IF(AC96&gt;0,Standing!$C$26*0.33,0)</f>
        <v>0</v>
      </c>
      <c r="CQ96" s="282">
        <f>IF(AC96&gt;0,Standing!$C$26*0.2,0)</f>
        <v>0</v>
      </c>
      <c r="CR96" s="283">
        <f>IF(AC96&gt;0,Standing!$C$26*0.25,0)</f>
        <v>0</v>
      </c>
      <c r="CS96" s="285">
        <f>IF(AC96&gt;0,Standing!$C$26*0.2,0)</f>
        <v>0</v>
      </c>
      <c r="CT96" s="286"/>
      <c r="CU96" s="286" t="s">
        <v>28</v>
      </c>
    </row>
    <row r="97" ht="15.75" customHeight="1">
      <c r="A97" s="51"/>
      <c r="B97" s="296" t="s">
        <v>552</v>
      </c>
      <c r="C97" s="189">
        <f>IF(Standing!$C$32*0.4&gt;2,Standing!$C$32*0.4,2)</f>
        <v>2</v>
      </c>
      <c r="D97" s="218">
        <f t="shared" si="3"/>
        <v>0.6366182837</v>
      </c>
      <c r="E97" s="190">
        <f t="shared" si="4"/>
        <v>50.8</v>
      </c>
      <c r="F97" s="122">
        <f t="shared" si="5"/>
        <v>16.17010441</v>
      </c>
      <c r="G97" s="123">
        <f>C97/Introduction!$I$20</f>
        <v>0.02083333333</v>
      </c>
      <c r="H97" s="192">
        <f t="shared" si="6"/>
        <v>0.006631440455</v>
      </c>
      <c r="I97" s="124">
        <f>E97/Introduction!$I$20</f>
        <v>0.5291666667</v>
      </c>
      <c r="J97" s="125">
        <f t="shared" si="7"/>
        <v>0.1684385876</v>
      </c>
      <c r="K97" s="51"/>
      <c r="L97" s="51"/>
      <c r="M97" s="51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286"/>
      <c r="AB97" s="286" t="s">
        <v>29</v>
      </c>
      <c r="AC97" s="287">
        <f>IF('Ship Data Imperial'!E98&gt;0,'Ship Data Imperial'!E98,AD97)</f>
        <v>0</v>
      </c>
      <c r="AD97" s="287">
        <f>'Ship Data Metric'!E98*0.03280839895</f>
        <v>0</v>
      </c>
      <c r="AE97" s="284">
        <f>IF(AC97&gt;0,Standing!$C$75*0.65,0)</f>
        <v>0</v>
      </c>
      <c r="AF97" s="280">
        <f>IF(AC97&gt;0,Standing!$C$75*0.33,0)</f>
        <v>0</v>
      </c>
      <c r="AG97" s="281">
        <f>IF(AC97&gt;0,Standing!$C$75*0.2,0)</f>
        <v>0</v>
      </c>
      <c r="AH97" s="282">
        <f>IF(AC97&gt;0,Standing!$C$75*0.5,0)</f>
        <v>0</v>
      </c>
      <c r="AI97" s="283">
        <f>IF(AC97&gt;0,Standing!$C$75*0.2,0)</f>
        <v>0</v>
      </c>
      <c r="AJ97" s="284">
        <f>IF(AC97&gt;0,Standing!$C$75*0.25,0)</f>
        <v>0</v>
      </c>
      <c r="AK97" s="281">
        <f>IF(AC97&gt;0,Standing!$C$81*0.8,0)</f>
        <v>0</v>
      </c>
      <c r="AL97" s="282">
        <f t="shared" si="8"/>
        <v>0</v>
      </c>
      <c r="AM97" s="283">
        <f>IF(AC97&gt;0,Standing!$C$81*0.45,0)</f>
        <v>0</v>
      </c>
      <c r="AN97" s="284">
        <f>IF(AC97&gt;0,Standing!$C$81*0.55,0)</f>
        <v>0</v>
      </c>
      <c r="AO97" s="280">
        <f>IF(AC97&gt;0,Standing!$C$81*0.36,0)</f>
        <v>0</v>
      </c>
      <c r="AP97" s="281">
        <f>IF(AC97&gt;0,Standing!$C$81*0.9,0)</f>
        <v>0</v>
      </c>
      <c r="AQ97" s="282">
        <f>IF(AC97&gt;0,Standing!$C$85*0.9,0)</f>
        <v>0</v>
      </c>
      <c r="AR97" s="283">
        <f>IF(AC97&gt;0,Standing!$C$85*0.5,0)</f>
        <v>0</v>
      </c>
      <c r="AS97" s="284">
        <f>IF(AC97&gt;0,Standing!$C$85*0.55,0)</f>
        <v>0</v>
      </c>
      <c r="AT97" s="280">
        <f>IF(AC97&gt;0,Standing!$C$85*0.66,0)</f>
        <v>0</v>
      </c>
      <c r="AU97" s="281">
        <f>IF(AC97&gt;0,Standing!$C$75*0.25,0)</f>
        <v>0</v>
      </c>
      <c r="AV97" s="282">
        <f>IF(AC97&gt;0,Standing!$C$75*0.2,0)</f>
        <v>0</v>
      </c>
      <c r="AW97" s="283">
        <f>IF(AC97&gt;0,Standing!$C$26*0.33,0)</f>
        <v>0</v>
      </c>
      <c r="AX97" s="284">
        <f>IF(AC97&gt;0,Standing!$C$26*0.2,0)</f>
        <v>0</v>
      </c>
      <c r="AY97" s="280">
        <f>IF(AC97&gt;0,Standing!$C$26*0.25,0)</f>
        <v>0</v>
      </c>
      <c r="AZ97" s="281">
        <f>IF(AC97&gt;0,Standing!$C$26*0.33,0)</f>
        <v>0</v>
      </c>
      <c r="BA97" s="282">
        <f>IF(AC97&gt;0,Standing!$C$26*0.15,0)</f>
        <v>0</v>
      </c>
      <c r="BB97" s="283">
        <f>IF(AC97&gt;0,Standing!$C$26*0.125,0)</f>
        <v>0</v>
      </c>
      <c r="BC97" s="284">
        <f>IF(AC97&gt;0,Standing!$C$32*0.33,0)</f>
        <v>0</v>
      </c>
      <c r="BD97" s="280">
        <f>IF(AC97&gt;0,Standing!$C$32*0.5,0)</f>
        <v>0</v>
      </c>
      <c r="BE97" s="281">
        <f>IF(AC97&gt;0,Standing!$C$32*0.33,0)</f>
        <v>0</v>
      </c>
      <c r="BF97" s="282">
        <f>IF(AC97&gt;0,Standing!$C$32*0.33,0)</f>
        <v>0</v>
      </c>
      <c r="BG97" s="283">
        <f>IF(AC97&gt;0,Standing!$C$32*0.3,0)</f>
        <v>0</v>
      </c>
      <c r="BH97" s="284">
        <f>IF(AC97&gt;0,Standing!$C$32*0.4,0)</f>
        <v>0</v>
      </c>
      <c r="BI97" s="280">
        <f>IF(AC97&gt;0,Standing!$C$26*0.75,0)</f>
        <v>0</v>
      </c>
      <c r="BJ97" s="281">
        <f>IF(AC97&gt;0,Standing!$C$26*0.65,0)</f>
        <v>0</v>
      </c>
      <c r="BK97" s="282">
        <f>IF(AC97&gt;0,Standing!$C$26*0.5,0)</f>
        <v>0</v>
      </c>
      <c r="BL97" s="283">
        <f>IF(AC97&gt;0,Standing!$C$32*0.66,0)</f>
        <v>0</v>
      </c>
      <c r="BM97" s="281">
        <f>IF(AC97&gt;0,Standing!$C$32*0.85,0)</f>
        <v>0</v>
      </c>
      <c r="BN97" s="284">
        <f t="shared" si="9"/>
        <v>0</v>
      </c>
      <c r="BO97" s="282">
        <f>IF(AC97&gt;0,Standing!$C$32*0.45,0)</f>
        <v>0</v>
      </c>
      <c r="BP97" s="280">
        <f>IF(AC97&gt;0,Standing!$C$32*0.45,0)</f>
        <v>0</v>
      </c>
      <c r="BQ97" s="281">
        <f>IF(AC97&gt;0,Standing!$C$32*0.66,0)</f>
        <v>0</v>
      </c>
      <c r="BR97" s="282">
        <f>IF(AC97&gt;0,Standing!$C$32*0.33,0)</f>
        <v>0</v>
      </c>
      <c r="BS97" s="283">
        <f>IF(AC97&gt;0,Standing!$C$32*0.375,0)</f>
        <v>0</v>
      </c>
      <c r="BT97" s="284">
        <f>IF(AC97&gt;0,Standing!$C$32*0.45,0)</f>
        <v>0</v>
      </c>
      <c r="BU97" s="280">
        <f>IF(AC97&gt;0,Standing!$C$36*0.9,0)</f>
        <v>0</v>
      </c>
      <c r="BV97" s="281">
        <f>IF(AC97&gt;0,Standing!$C$36*0.45,0)</f>
        <v>0</v>
      </c>
      <c r="BW97" s="282">
        <f>IF(AC97&gt;0,Standing!$C$126*0.66,0)</f>
        <v>0</v>
      </c>
      <c r="BX97" s="283">
        <f>IF(AC97&gt;0,Standing!$C$126*0.66,0)</f>
        <v>0</v>
      </c>
      <c r="BY97" s="284">
        <f>IF(AC97&gt;0,Standing!$C$126*0.4,0)</f>
        <v>0</v>
      </c>
      <c r="BZ97" s="280">
        <f>IF(AC97&gt;0,Standing!$C$126*0.33,0)</f>
        <v>0</v>
      </c>
      <c r="CA97" s="281">
        <f>IF(AC97&gt;0,Standing!$C$132,0)</f>
        <v>0</v>
      </c>
      <c r="CB97" s="282">
        <f>IF(AC97&gt;0,Standing!$C$132*0.66,0)</f>
        <v>0</v>
      </c>
      <c r="CC97" s="283">
        <f>IF(AC97&gt;0,Standing!$C$132*0.5,0)</f>
        <v>0</v>
      </c>
      <c r="CD97" s="284">
        <f>IF(AC97&gt;0,Standing!$C$132*0.5,0)</f>
        <v>0</v>
      </c>
      <c r="CE97" s="280">
        <f>IF(AC97&gt;0,Standing!$C$132*0.5,0)</f>
        <v>0</v>
      </c>
      <c r="CF97" s="281">
        <f>IF(AC97&gt;0,Standing!$C$132*0.66,0)</f>
        <v>0</v>
      </c>
      <c r="CG97" s="282">
        <f>IF(AC97&gt;0,Standing!$C$132*0.5,0)</f>
        <v>0</v>
      </c>
      <c r="CH97" s="283">
        <f>IF(AC97&gt;0,Standing!$C$132*0.5,0)</f>
        <v>0</v>
      </c>
      <c r="CI97" s="284">
        <f>IF(AC97&gt;0,Standing!$C$132*0.5,0)</f>
        <v>0</v>
      </c>
      <c r="CJ97" s="280">
        <f>IF(AC97&gt;0,Standing!$C$132*0.5,0)</f>
        <v>0</v>
      </c>
      <c r="CK97" s="281">
        <f>IF(AC97&gt;0,Standing!$C$126*0.55,0)</f>
        <v>0</v>
      </c>
      <c r="CL97" s="282">
        <f>IF(AC97&gt;0,Standing!$C$126*0.75,0)</f>
        <v>0</v>
      </c>
      <c r="CM97" s="283">
        <f>IF(AC97&gt;0,Standing!$C$126*0.7,0)</f>
        <v>0</v>
      </c>
      <c r="CN97" s="284">
        <f>IF(AC97&gt;0,Standing!$C$126*0.33,0)</f>
        <v>0</v>
      </c>
      <c r="CO97" s="280">
        <f>IF(AC97&gt;0,Standing!$C$126*0.4,0)</f>
        <v>0</v>
      </c>
      <c r="CP97" s="281">
        <f>IF(AC97&gt;0,Standing!$C$26*0.33,0)</f>
        <v>0</v>
      </c>
      <c r="CQ97" s="282">
        <f>IF(AC97&gt;0,Standing!$C$26*0.2,0)</f>
        <v>0</v>
      </c>
      <c r="CR97" s="283">
        <f>IF(AC97&gt;0,Standing!$C$26*0.25,0)</f>
        <v>0</v>
      </c>
      <c r="CS97" s="285">
        <f>IF(AC97&gt;0,Standing!$C$26*0.2,0)</f>
        <v>0</v>
      </c>
      <c r="CT97" s="286"/>
      <c r="CU97" s="286" t="s">
        <v>29</v>
      </c>
    </row>
    <row r="98" ht="15.75" customHeight="1">
      <c r="A98" s="51"/>
      <c r="B98" s="296" t="s">
        <v>553</v>
      </c>
      <c r="C98" s="189">
        <f>IF(Standing!$C$32*0.165&gt;1,Standing!$C$32*0.165,1)</f>
        <v>1</v>
      </c>
      <c r="D98" s="218">
        <f t="shared" si="3"/>
        <v>0.3183091418</v>
      </c>
      <c r="E98" s="190">
        <f t="shared" si="4"/>
        <v>25.4</v>
      </c>
      <c r="F98" s="122">
        <f t="shared" si="5"/>
        <v>8.085052203</v>
      </c>
      <c r="G98" s="123">
        <f>C98/Introduction!$I$20</f>
        <v>0.01041666667</v>
      </c>
      <c r="H98" s="192">
        <f t="shared" si="6"/>
        <v>0.003315720227</v>
      </c>
      <c r="I98" s="124">
        <f>E98/Introduction!$I$20</f>
        <v>0.2645833333</v>
      </c>
      <c r="J98" s="125">
        <f t="shared" si="7"/>
        <v>0.08421929378</v>
      </c>
      <c r="K98" s="51"/>
      <c r="L98" s="51"/>
      <c r="M98" s="51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286" t="s">
        <v>50</v>
      </c>
      <c r="AB98" s="158" t="s">
        <v>24</v>
      </c>
      <c r="AC98" s="287">
        <f>IF('Ship Data Imperial'!E99&gt;0,'Ship Data Imperial'!E99,AD98)</f>
        <v>0</v>
      </c>
      <c r="AD98" s="287">
        <f>'Ship Data Metric'!E99*0.03280839895</f>
        <v>0</v>
      </c>
      <c r="AE98" s="284">
        <f>IF(AC98&gt;0,Standing!$C$75*0.45,0)</f>
        <v>0</v>
      </c>
      <c r="AF98" s="280">
        <f>IF(AC98&gt;0,Standing!$C$75*0.25,0)</f>
        <v>0</v>
      </c>
      <c r="AG98" s="281">
        <f>IF(AC98&gt;0,Standing!$C$75*0.165,0)</f>
        <v>0</v>
      </c>
      <c r="AH98" s="282">
        <f>IF(AC98&gt;0,Standing!$C$75*0.5,0)</f>
        <v>0</v>
      </c>
      <c r="AI98" s="283">
        <f>IF(AC98&gt;0,Standing!$C$75*0.16,0)</f>
        <v>0</v>
      </c>
      <c r="AJ98" s="284">
        <f>IF(AC98&gt;0,Standing!$C$75*0.2,0)</f>
        <v>0</v>
      </c>
      <c r="AK98" s="281">
        <f>IF(AC98&gt;0,Standing!$C$81*0.66,0)</f>
        <v>0</v>
      </c>
      <c r="AL98" s="282">
        <f t="shared" si="8"/>
        <v>0</v>
      </c>
      <c r="AM98" s="283">
        <f>IF(AC98&gt;0,Standing!$C$81*0.45,0)</f>
        <v>0</v>
      </c>
      <c r="AN98" s="284">
        <f>IF(AC98&gt;0,Standing!$C$81*0.55,0)</f>
        <v>0</v>
      </c>
      <c r="AO98" s="280">
        <f>IF(AC98&gt;0,Standing!$C$81*0.36,0)</f>
        <v>0</v>
      </c>
      <c r="AP98" s="281">
        <f>IF(AC98&gt;0,Standing!$C$81,0)</f>
        <v>0</v>
      </c>
      <c r="AQ98" s="282">
        <f>IF(AC98&gt;0,Standing!$C$85*0.9,0)</f>
        <v>0</v>
      </c>
      <c r="AR98" s="283">
        <f>IF(AC98&gt;0,Standing!$C$85*0.5,0)</f>
        <v>0</v>
      </c>
      <c r="AS98" s="284">
        <f>IF(AC98&gt;0,Standing!$C$85*0.55,0)</f>
        <v>0</v>
      </c>
      <c r="AT98" s="280">
        <f>IF(AC98&gt;0,Standing!$C$85*0.66,0)</f>
        <v>0</v>
      </c>
      <c r="AU98" s="281">
        <f>IF(AC98&gt;0,Standing!$C$75*0.2,0)</f>
        <v>0</v>
      </c>
      <c r="AV98" s="282">
        <f>IF(AC98&gt;0,Standing!$C$75*0.2,0)</f>
        <v>0</v>
      </c>
      <c r="AW98" s="283">
        <f>IF(AC98&gt;0,Standing!$C$26*0.33,0)</f>
        <v>0</v>
      </c>
      <c r="AX98" s="284">
        <f>IF(AC98&gt;0,Standing!$C$26*0.2,0)</f>
        <v>0</v>
      </c>
      <c r="AY98" s="280">
        <f>IF(AC98&gt;0,Standing!$C$26*0.25,0)</f>
        <v>0</v>
      </c>
      <c r="AZ98" s="281">
        <f>IF(AC98&gt;0,Standing!$C$26*0.33,0)</f>
        <v>0</v>
      </c>
      <c r="BA98" s="282">
        <f>IF(AC98&gt;0,Standing!$C$26*0.15,0)</f>
        <v>0</v>
      </c>
      <c r="BB98" s="283">
        <f>IF(AC98&gt;0,Standing!$C$26*0.125,0)</f>
        <v>0</v>
      </c>
      <c r="BC98" s="284">
        <f>IF(AC98&gt;0,Standing!$C$32*0.33,0)</f>
        <v>0</v>
      </c>
      <c r="BD98" s="280">
        <f>IF(AC98&gt;0,Standing!$C$32*0.5,0)</f>
        <v>0</v>
      </c>
      <c r="BE98" s="281">
        <f>IF(AC98&gt;0,Standing!$C$32*0.33,0)</f>
        <v>0</v>
      </c>
      <c r="BF98" s="282">
        <f>IF(AC98&gt;0,Standing!$C$32*0.33,0)</f>
        <v>0</v>
      </c>
      <c r="BG98" s="283">
        <f>IF(AC98&gt;0,Standing!$C$32*0.25,0)</f>
        <v>0</v>
      </c>
      <c r="BH98" s="284">
        <f>IF(AC98&gt;0,Standing!$C$32*0.33,0)</f>
        <v>0</v>
      </c>
      <c r="BI98" s="280">
        <f>IF(AC98&gt;0,Standing!$C$26*0.5,0)</f>
        <v>0</v>
      </c>
      <c r="BJ98" s="281">
        <f>IF(AC98&gt;0,Standing!$C$26*0.45,0)</f>
        <v>0</v>
      </c>
      <c r="BK98" s="282">
        <f>IF(AC98&gt;0,Standing!$C$26*0.5,0)</f>
        <v>0</v>
      </c>
      <c r="BL98" s="283">
        <f>IF(AC98&gt;0,Standing!$C$32*0.66,0)</f>
        <v>0</v>
      </c>
      <c r="BM98" s="281">
        <f>IF(AC98&gt;0,Standing!$C$32*0.9,0)</f>
        <v>0</v>
      </c>
      <c r="BN98" s="284">
        <f t="shared" si="9"/>
        <v>0</v>
      </c>
      <c r="BO98" s="282">
        <f>IF(AC98&gt;0,Standing!$C$32*0.5,0)</f>
        <v>0</v>
      </c>
      <c r="BP98" s="280">
        <f>IF(AC98&gt;0,Standing!$C$32*0.45,0)</f>
        <v>0</v>
      </c>
      <c r="BQ98" s="281">
        <f>IF(AC98&gt;0,Standing!$C$32*0.66,0)</f>
        <v>0</v>
      </c>
      <c r="BR98" s="282">
        <f>IF(AC98&gt;0,Standing!$C$32*0.33,0)</f>
        <v>0</v>
      </c>
      <c r="BS98" s="283">
        <f>IF(AC98&gt;0,Standing!$C$32*0.33,0)</f>
        <v>0</v>
      </c>
      <c r="BT98" s="284">
        <f>IF(AC98&gt;0,Standing!$C$32*0.45,0)</f>
        <v>0</v>
      </c>
      <c r="BU98" s="280">
        <f>IF(AC98&gt;0,Standing!$C$36*0.9,0)</f>
        <v>0</v>
      </c>
      <c r="BV98" s="281">
        <f>IF(AC98&gt;0,Standing!$C$36*0.45,0)</f>
        <v>0</v>
      </c>
      <c r="BW98" s="282">
        <f>IF(AC98&gt;0,Standing!$C$126*0.66,0)</f>
        <v>0</v>
      </c>
      <c r="BX98" s="283">
        <f>IF(AC98&gt;0,Standing!$C$126*0.66,0)</f>
        <v>0</v>
      </c>
      <c r="BY98" s="284">
        <f>IF(AC98&gt;0,Standing!$C$126*0.4,0)</f>
        <v>0</v>
      </c>
      <c r="BZ98" s="280">
        <f>IF(AC98&gt;0,Standing!$C$126*0.33,0)</f>
        <v>0</v>
      </c>
      <c r="CA98" s="281">
        <f>IF(AC98&gt;0,Standing!$C$132*0.8,0)</f>
        <v>0</v>
      </c>
      <c r="CB98" s="282">
        <f>IF(AC98&gt;0,Standing!$C$132*0.66,0)</f>
        <v>0</v>
      </c>
      <c r="CC98" s="283">
        <f>IF(AC98&gt;0,Standing!$C$132*0.5,0)</f>
        <v>0</v>
      </c>
      <c r="CD98" s="284">
        <f>IF(AC98&gt;0,Standing!$C$132*0.5,0)</f>
        <v>0</v>
      </c>
      <c r="CE98" s="280">
        <f>IF(AC98&gt;0,Standing!$C$132*0.4,0)</f>
        <v>0</v>
      </c>
      <c r="CF98" s="281">
        <f>IF(AC98&gt;0,Standing!$C$132*0.66,0)</f>
        <v>0</v>
      </c>
      <c r="CG98" s="282">
        <f>IF(AC98&gt;0,Standing!$C$132*0.5,0)</f>
        <v>0</v>
      </c>
      <c r="CH98" s="283">
        <f>IF(AC98&gt;0,Standing!$C$132*0.5,0)</f>
        <v>0</v>
      </c>
      <c r="CI98" s="284">
        <f>IF(AC98&gt;0,Standing!$C$132*0.5,0)</f>
        <v>0</v>
      </c>
      <c r="CJ98" s="280">
        <f>IF(AC98&gt;0,Standing!$C$132*0.5,0)</f>
        <v>0</v>
      </c>
      <c r="CK98" s="281">
        <f>IF(AC98&gt;0,Standing!$C$126*0.55,0)</f>
        <v>0</v>
      </c>
      <c r="CL98" s="282">
        <f>IF(AC98&gt;0,Standing!$C$126*0.75,0)</f>
        <v>0</v>
      </c>
      <c r="CM98" s="283">
        <f>IF(AC98&gt;0,Standing!$C$126*0.7,0)</f>
        <v>0</v>
      </c>
      <c r="CN98" s="284">
        <f>IF(AC98&gt;0,Standing!$C$126*0.33,0)</f>
        <v>0</v>
      </c>
      <c r="CO98" s="280">
        <f>IF(AC98&gt;0,Standing!$C$126*0.4,0)</f>
        <v>0</v>
      </c>
      <c r="CP98" s="281">
        <f>IF(AC98&gt;0,Standing!$C$26*0.25,0)</f>
        <v>0</v>
      </c>
      <c r="CQ98" s="282">
        <f>IF(AC98&gt;0,Standing!$C$26*0.165,0)</f>
        <v>0</v>
      </c>
      <c r="CR98" s="283">
        <f>IF(AC98&gt;0,Standing!$C$26*0.2,0)</f>
        <v>0</v>
      </c>
      <c r="CS98" s="285">
        <f>IF(AC98&gt;0,Standing!$C$26*0.16,0)</f>
        <v>0</v>
      </c>
      <c r="CT98" s="286" t="s">
        <v>50</v>
      </c>
      <c r="CU98" s="158" t="s">
        <v>24</v>
      </c>
    </row>
    <row r="99" ht="15.75" customHeight="1">
      <c r="A99" s="51"/>
      <c r="B99" s="298" t="s">
        <v>554</v>
      </c>
      <c r="C99" s="189">
        <f>Standing!$C$32*0.5</f>
        <v>1.473375984</v>
      </c>
      <c r="D99" s="218">
        <f t="shared" si="3"/>
        <v>0.4689890452</v>
      </c>
      <c r="E99" s="190">
        <f t="shared" si="4"/>
        <v>37.42375</v>
      </c>
      <c r="F99" s="122">
        <f t="shared" si="5"/>
        <v>11.91232175</v>
      </c>
      <c r="G99" s="123">
        <f>C99/Introduction!$I$20</f>
        <v>0.0153476665</v>
      </c>
      <c r="H99" s="192">
        <f t="shared" si="6"/>
        <v>0.004885302554</v>
      </c>
      <c r="I99" s="124">
        <f>E99/Introduction!$I$20</f>
        <v>0.3898307292</v>
      </c>
      <c r="J99" s="125">
        <f t="shared" si="7"/>
        <v>0.1240866849</v>
      </c>
      <c r="K99" s="51"/>
      <c r="L99" s="51"/>
      <c r="M99" s="51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286"/>
      <c r="AB99" s="158" t="s">
        <v>25</v>
      </c>
      <c r="AC99" s="287">
        <f>IF('Ship Data Imperial'!E100&gt;0,'Ship Data Imperial'!E100,AD99)</f>
        <v>0</v>
      </c>
      <c r="AD99" s="287">
        <f>'Ship Data Metric'!E100*0.03280839895</f>
        <v>0</v>
      </c>
      <c r="AE99" s="284">
        <f>IF(AC99&gt;0,Standing!$C$75*0.45,0)</f>
        <v>0</v>
      </c>
      <c r="AF99" s="280">
        <f>IF(AC99&gt;0,Standing!$C$75*0.25,0)</f>
        <v>0</v>
      </c>
      <c r="AG99" s="281">
        <f>IF(AC99&gt;0,Standing!$C$75*0.165,0)</f>
        <v>0</v>
      </c>
      <c r="AH99" s="282">
        <f>IF(AC99&gt;0,Standing!$C$75*0.5,0)</f>
        <v>0</v>
      </c>
      <c r="AI99" s="283">
        <f>IF(AC99&gt;0,Standing!$C$75*0.16,0)</f>
        <v>0</v>
      </c>
      <c r="AJ99" s="284">
        <f>IF(AC99&gt;0,Standing!$C$75*0.2,0)</f>
        <v>0</v>
      </c>
      <c r="AK99" s="281">
        <f>IF(AC99&gt;0,Standing!$C$81*0.66,0)</f>
        <v>0</v>
      </c>
      <c r="AL99" s="282">
        <f t="shared" si="8"/>
        <v>0</v>
      </c>
      <c r="AM99" s="283">
        <f>IF(AC99&gt;0,Standing!$C$81*0.45,0)</f>
        <v>0</v>
      </c>
      <c r="AN99" s="284">
        <f>IF(AC99&gt;0,Standing!$C$81*0.55,0)</f>
        <v>0</v>
      </c>
      <c r="AO99" s="280">
        <f>IF(AC99&gt;0,Standing!$C$81*0.36,0)</f>
        <v>0</v>
      </c>
      <c r="AP99" s="281">
        <f>IF(AC99&gt;0,Standing!$C$81,0)</f>
        <v>0</v>
      </c>
      <c r="AQ99" s="282">
        <f>IF(AC99&gt;0,Standing!$C$85*0.9,0)</f>
        <v>0</v>
      </c>
      <c r="AR99" s="283">
        <f>IF(AC99&gt;0,Standing!$C$85*0.5,0)</f>
        <v>0</v>
      </c>
      <c r="AS99" s="284">
        <f>IF(AC99&gt;0,Standing!$C$85*0.55,0)</f>
        <v>0</v>
      </c>
      <c r="AT99" s="280">
        <f>IF(AC99&gt;0,Standing!$C$85*0.66,0)</f>
        <v>0</v>
      </c>
      <c r="AU99" s="281">
        <f>IF(AC99&gt;0,Standing!$C$75*0.2,0)</f>
        <v>0</v>
      </c>
      <c r="AV99" s="282">
        <f>IF(AC99&gt;0,Standing!$C$75*0.2,0)</f>
        <v>0</v>
      </c>
      <c r="AW99" s="283">
        <f>IF(AC99&gt;0,Standing!$C$26*0.33,0)</f>
        <v>0</v>
      </c>
      <c r="AX99" s="284">
        <f>IF(AC99&gt;0,Standing!$C$26*0.2,0)</f>
        <v>0</v>
      </c>
      <c r="AY99" s="280">
        <f>IF(AC99&gt;0,Standing!$C$26*0.25,0)</f>
        <v>0</v>
      </c>
      <c r="AZ99" s="281">
        <f>IF(AC99&gt;0,Standing!$C$26*0.33,0)</f>
        <v>0</v>
      </c>
      <c r="BA99" s="282">
        <f>IF(AC99&gt;0,Standing!$C$26*0.15,0)</f>
        <v>0</v>
      </c>
      <c r="BB99" s="283">
        <f>IF(AC99&gt;0,Standing!$C$26*0.125,0)</f>
        <v>0</v>
      </c>
      <c r="BC99" s="284">
        <f>IF(AC99&gt;0,Standing!$C$32*0.33,0)</f>
        <v>0</v>
      </c>
      <c r="BD99" s="280">
        <f>IF(AC99&gt;0,Standing!$C$32*0.5,0)</f>
        <v>0</v>
      </c>
      <c r="BE99" s="281">
        <f>IF(AC99&gt;0,Standing!$C$32*0.33,0)</f>
        <v>0</v>
      </c>
      <c r="BF99" s="282">
        <f>IF(AC99&gt;0,Standing!$C$32*0.33,0)</f>
        <v>0</v>
      </c>
      <c r="BG99" s="283">
        <f>IF(AC99&gt;0,Standing!$C$32*0.25,0)</f>
        <v>0</v>
      </c>
      <c r="BH99" s="284">
        <f>IF(AC99&gt;0,Standing!$C$32*0.33,0)</f>
        <v>0</v>
      </c>
      <c r="BI99" s="280">
        <f>IF(AC99&gt;0,Standing!$C$26*0.5,0)</f>
        <v>0</v>
      </c>
      <c r="BJ99" s="281">
        <f>IF(AC99&gt;0,Standing!$C$26*0.45,0)</f>
        <v>0</v>
      </c>
      <c r="BK99" s="282">
        <f>IF(AC99&gt;0,Standing!$C$26*0.5,0)</f>
        <v>0</v>
      </c>
      <c r="BL99" s="283">
        <f>IF(AC99&gt;0,Standing!$C$32*0.66,0)</f>
        <v>0</v>
      </c>
      <c r="BM99" s="281">
        <f>IF(AC99&gt;0,Standing!$C$32*0.9,0)</f>
        <v>0</v>
      </c>
      <c r="BN99" s="284">
        <f t="shared" si="9"/>
        <v>0</v>
      </c>
      <c r="BO99" s="282">
        <f>IF(AC99&gt;0,Standing!$C$32*0.5,0)</f>
        <v>0</v>
      </c>
      <c r="BP99" s="280">
        <f>IF(AC99&gt;0,Standing!$C$32*0.45,0)</f>
        <v>0</v>
      </c>
      <c r="BQ99" s="281">
        <f>IF(AC99&gt;0,Standing!$C$32*0.66,0)</f>
        <v>0</v>
      </c>
      <c r="BR99" s="282">
        <f>IF(AC99&gt;0,Standing!$C$32*0.33,0)</f>
        <v>0</v>
      </c>
      <c r="BS99" s="283">
        <f>IF(AC99&gt;0,Standing!$C$32*0.33,0)</f>
        <v>0</v>
      </c>
      <c r="BT99" s="284">
        <f>IF(AC99&gt;0,Standing!$C$32*0.45,0)</f>
        <v>0</v>
      </c>
      <c r="BU99" s="280">
        <f>IF(AC99&gt;0,Standing!$C$36*0.9,0)</f>
        <v>0</v>
      </c>
      <c r="BV99" s="281">
        <f>IF(AC99&gt;0,Standing!$C$36*0.45,0)</f>
        <v>0</v>
      </c>
      <c r="BW99" s="282">
        <f>IF(AC99&gt;0,Standing!$C$126*0.66,0)</f>
        <v>0</v>
      </c>
      <c r="BX99" s="283">
        <f>IF(AC99&gt;0,Standing!$C$126*0.66,0)</f>
        <v>0</v>
      </c>
      <c r="BY99" s="284">
        <f>IF(AC99&gt;0,Standing!$C$126*0.4,0)</f>
        <v>0</v>
      </c>
      <c r="BZ99" s="280">
        <f>IF(AC99&gt;0,Standing!$C$126*0.33,0)</f>
        <v>0</v>
      </c>
      <c r="CA99" s="281">
        <f>IF(AC99&gt;0,Standing!$C$132*0.8,0)</f>
        <v>0</v>
      </c>
      <c r="CB99" s="282">
        <f>IF(AC99&gt;0,Standing!$C$132*0.66,0)</f>
        <v>0</v>
      </c>
      <c r="CC99" s="283">
        <f>IF(AC99&gt;0,Standing!$C$132*0.5,0)</f>
        <v>0</v>
      </c>
      <c r="CD99" s="284">
        <f>IF(AC99&gt;0,Standing!$C$132*0.5,0)</f>
        <v>0</v>
      </c>
      <c r="CE99" s="280">
        <f>IF(AC99&gt;0,Standing!$C$132*0.4,0)</f>
        <v>0</v>
      </c>
      <c r="CF99" s="281">
        <f>IF(AC99&gt;0,Standing!$C$132*0.66,0)</f>
        <v>0</v>
      </c>
      <c r="CG99" s="282">
        <f>IF(AC99&gt;0,Standing!$C$132*0.5,0)</f>
        <v>0</v>
      </c>
      <c r="CH99" s="283">
        <f>IF(AC99&gt;0,Standing!$C$132*0.5,0)</f>
        <v>0</v>
      </c>
      <c r="CI99" s="284">
        <f>IF(AC99&gt;0,Standing!$C$132*0.5,0)</f>
        <v>0</v>
      </c>
      <c r="CJ99" s="280">
        <f>IF(AC99&gt;0,Standing!$C$132*0.5,0)</f>
        <v>0</v>
      </c>
      <c r="CK99" s="281">
        <f>IF(AC99&gt;0,Standing!$C$126*0.55,0)</f>
        <v>0</v>
      </c>
      <c r="CL99" s="282">
        <f>IF(AC99&gt;0,Standing!$C$126*0.75,0)</f>
        <v>0</v>
      </c>
      <c r="CM99" s="283">
        <f>IF(AC99&gt;0,Standing!$C$126*0.7,0)</f>
        <v>0</v>
      </c>
      <c r="CN99" s="284">
        <f>IF(AC99&gt;0,Standing!$C$126*0.33,0)</f>
        <v>0</v>
      </c>
      <c r="CO99" s="280">
        <f>IF(AC99&gt;0,Standing!$C$126*0.4,0)</f>
        <v>0</v>
      </c>
      <c r="CP99" s="281">
        <f>IF(AC99&gt;0,Standing!$C$26*0.25,0)</f>
        <v>0</v>
      </c>
      <c r="CQ99" s="282">
        <f>IF(AC99&gt;0,Standing!$C$26*0.165,0)</f>
        <v>0</v>
      </c>
      <c r="CR99" s="283">
        <f>IF(AC99&gt;0,Standing!$C$26*0.2,0)</f>
        <v>0</v>
      </c>
      <c r="CS99" s="285">
        <f>IF(AC99&gt;0,Standing!$C$26*0.16,0)</f>
        <v>0</v>
      </c>
      <c r="CT99" s="286"/>
      <c r="CU99" s="158" t="s">
        <v>25</v>
      </c>
    </row>
    <row r="100" ht="15.75" customHeight="1">
      <c r="A100" s="51"/>
      <c r="B100" s="299" t="s">
        <v>555</v>
      </c>
      <c r="C100" s="189">
        <f>IF(Standing!$C$32*0.25&gt;1,Standing!$C$32*0.25,1)</f>
        <v>1</v>
      </c>
      <c r="D100" s="218">
        <f t="shared" si="3"/>
        <v>0.3183091418</v>
      </c>
      <c r="E100" s="190">
        <f t="shared" si="4"/>
        <v>25.4</v>
      </c>
      <c r="F100" s="122">
        <f t="shared" si="5"/>
        <v>8.085052203</v>
      </c>
      <c r="G100" s="123">
        <f>C100/Introduction!$I$20</f>
        <v>0.01041666667</v>
      </c>
      <c r="H100" s="192">
        <f t="shared" si="6"/>
        <v>0.003315720227</v>
      </c>
      <c r="I100" s="124">
        <f>E100/Introduction!$I$20</f>
        <v>0.2645833333</v>
      </c>
      <c r="J100" s="125">
        <f t="shared" si="7"/>
        <v>0.08421929378</v>
      </c>
      <c r="K100" s="51"/>
      <c r="L100" s="51"/>
      <c r="M100" s="51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286"/>
      <c r="AB100" s="158" t="s">
        <v>40</v>
      </c>
      <c r="AC100" s="287">
        <f>IF('Ship Data Imperial'!E101&gt;0,'Ship Data Imperial'!E101,AD100)</f>
        <v>0</v>
      </c>
      <c r="AD100" s="287">
        <f>'Ship Data Metric'!E101*0.03280839895</f>
        <v>0</v>
      </c>
      <c r="AE100" s="284">
        <f>IF(AC100&gt;0,Standing!$C$75*0.45,0)</f>
        <v>0</v>
      </c>
      <c r="AF100" s="280">
        <f>IF(AC100&gt;0,Standing!$C$75*0.25,0)</f>
        <v>0</v>
      </c>
      <c r="AG100" s="281">
        <f>IF(AC100&gt;0,Standing!$C$75*0.2,0)</f>
        <v>0</v>
      </c>
      <c r="AH100" s="282">
        <f>IF(AC100&gt;0,Standing!$C$75*0.5,0)</f>
        <v>0</v>
      </c>
      <c r="AI100" s="283">
        <f>IF(AC100&gt;0,Standing!$C$75*0.2,0)</f>
        <v>0</v>
      </c>
      <c r="AJ100" s="284">
        <f>IF(AC100&gt;0,Standing!$C$75*0.25,0)</f>
        <v>0</v>
      </c>
      <c r="AK100" s="281">
        <f>IF(AC100&gt;0,Standing!$C$81*0.8,0)</f>
        <v>0</v>
      </c>
      <c r="AL100" s="282">
        <f t="shared" si="8"/>
        <v>0</v>
      </c>
      <c r="AM100" s="283">
        <f>IF(AC100&gt;0,Standing!$C$81*0.45,0)</f>
        <v>0</v>
      </c>
      <c r="AN100" s="284">
        <f>IF(AC100&gt;0,Standing!$C$81*0.55,0)</f>
        <v>0</v>
      </c>
      <c r="AO100" s="280">
        <f>IF(AC100&gt;0,Standing!$C$81*0.36,0)</f>
        <v>0</v>
      </c>
      <c r="AP100" s="281">
        <f>IF(AC100&gt;0,Standing!$C$81*0.9,0)</f>
        <v>0</v>
      </c>
      <c r="AQ100" s="282">
        <f>IF(AC100&gt;0,Standing!$C$85*0.9,0)</f>
        <v>0</v>
      </c>
      <c r="AR100" s="283">
        <f>IF(AC100&gt;0,Standing!$C$85*0.5,0)</f>
        <v>0</v>
      </c>
      <c r="AS100" s="284">
        <f>IF(AC100&gt;0,Standing!$C$85*0.55,0)</f>
        <v>0</v>
      </c>
      <c r="AT100" s="280">
        <f>IF(AC100&gt;0,Standing!$C$85*0.66,0)</f>
        <v>0</v>
      </c>
      <c r="AU100" s="281">
        <f>IF(AC100&gt;0,Standing!$C$75*0.2,0)</f>
        <v>0</v>
      </c>
      <c r="AV100" s="282">
        <f>IF(AC100&gt;0,Standing!$C$75*0.2,0)</f>
        <v>0</v>
      </c>
      <c r="AW100" s="283">
        <f>IF(AC100&gt;0,Standing!$C$26*0.33,0)</f>
        <v>0</v>
      </c>
      <c r="AX100" s="284">
        <f>IF(AC100&gt;0,Standing!$C$26*0.2,0)</f>
        <v>0</v>
      </c>
      <c r="AY100" s="280">
        <f>IF(AC100&gt;0,Standing!$C$26*0.25,0)</f>
        <v>0</v>
      </c>
      <c r="AZ100" s="281">
        <f>IF(AC100&gt;0,Standing!$C$26*0.33,0)</f>
        <v>0</v>
      </c>
      <c r="BA100" s="282">
        <f>IF(AC100&gt;0,Standing!$C$26*0.15,0)</f>
        <v>0</v>
      </c>
      <c r="BB100" s="283">
        <f>IF(AC100&gt;0,Standing!$C$26*0.125,0)</f>
        <v>0</v>
      </c>
      <c r="BC100" s="284">
        <f>IF(AC100&gt;0,Standing!$C$32*0.33,0)</f>
        <v>0</v>
      </c>
      <c r="BD100" s="280">
        <f>IF(AC100&gt;0,Standing!$C$32*0.5,0)</f>
        <v>0</v>
      </c>
      <c r="BE100" s="281">
        <f>IF(AC100&gt;0,Standing!$C$32*0.33,0)</f>
        <v>0</v>
      </c>
      <c r="BF100" s="282">
        <f>IF(AC100&gt;0,Standing!$C$32*0.33,0)</f>
        <v>0</v>
      </c>
      <c r="BG100" s="283">
        <f>IF(AC100&gt;0,Standing!$C$32*0.25,0)</f>
        <v>0</v>
      </c>
      <c r="BH100" s="284">
        <f>IF(AC100&gt;0,Standing!$C$32*0.4,0)</f>
        <v>0</v>
      </c>
      <c r="BI100" s="280">
        <f>IF(AC100&gt;0,Standing!$C$26*0.5,0)</f>
        <v>0</v>
      </c>
      <c r="BJ100" s="281">
        <f>IF(AC100&gt;0,Standing!$C$26*0.45,0)</f>
        <v>0</v>
      </c>
      <c r="BK100" s="282">
        <f>IF(AC100&gt;0,Standing!$C$26*0.5,0)</f>
        <v>0</v>
      </c>
      <c r="BL100" s="283">
        <f>IF(AC100&gt;0,Standing!$C$32*0.66,0)</f>
        <v>0</v>
      </c>
      <c r="BM100" s="281">
        <f>IF(AC100&gt;0,Standing!$C$32*0.85,0)</f>
        <v>0</v>
      </c>
      <c r="BN100" s="284">
        <f t="shared" si="9"/>
        <v>0</v>
      </c>
      <c r="BO100" s="282">
        <f>IF(AC100&gt;0,Standing!$C$32*0.5,0)</f>
        <v>0</v>
      </c>
      <c r="BP100" s="280">
        <f>IF(AC100&gt;0,Standing!$C$32*0.45,0)</f>
        <v>0</v>
      </c>
      <c r="BQ100" s="281">
        <f>IF(AC100&gt;0,Standing!$C$32*0.66,0)</f>
        <v>0</v>
      </c>
      <c r="BR100" s="282">
        <f>IF(AC100&gt;0,Standing!$C$32*0.33,0)</f>
        <v>0</v>
      </c>
      <c r="BS100" s="283">
        <f>IF(AC100&gt;0,Standing!$C$32*0.33,0)</f>
        <v>0</v>
      </c>
      <c r="BT100" s="284">
        <f>IF(AC100&gt;0,Standing!$C$32*0.45,0)</f>
        <v>0</v>
      </c>
      <c r="BU100" s="280">
        <f>IF(AC100&gt;0,Standing!$C$36*0.9,0)</f>
        <v>0</v>
      </c>
      <c r="BV100" s="281">
        <f>IF(AC100&gt;0,Standing!$C$36*0.45,0)</f>
        <v>0</v>
      </c>
      <c r="BW100" s="282">
        <f>IF(AC100&gt;0,Standing!$C$126*0.66,0)</f>
        <v>0</v>
      </c>
      <c r="BX100" s="283">
        <f>IF(AC100&gt;0,Standing!$C$126*0.66,0)</f>
        <v>0</v>
      </c>
      <c r="BY100" s="284">
        <f>IF(AC100&gt;0,Standing!$C$126*0.4,0)</f>
        <v>0</v>
      </c>
      <c r="BZ100" s="280">
        <f>IF(AC100&gt;0,Standing!$C$126*0.33,0)</f>
        <v>0</v>
      </c>
      <c r="CA100" s="281">
        <f>IF(AC100&gt;0,Standing!$C$132*0.8,0)</f>
        <v>0</v>
      </c>
      <c r="CB100" s="282">
        <f>IF(AC100&gt;0,Standing!$C$132*0.66,0)</f>
        <v>0</v>
      </c>
      <c r="CC100" s="283">
        <f>IF(AC100&gt;0,Standing!$C$132*0.5,0)</f>
        <v>0</v>
      </c>
      <c r="CD100" s="284">
        <f>IF(AC100&gt;0,Standing!$C$132*0.5,0)</f>
        <v>0</v>
      </c>
      <c r="CE100" s="280">
        <f>IF(AC100&gt;0,Standing!$C$132*0.4,0)</f>
        <v>0</v>
      </c>
      <c r="CF100" s="281">
        <f>IF(AC100&gt;0,Standing!$C$132*0.66,0)</f>
        <v>0</v>
      </c>
      <c r="CG100" s="282">
        <f>IF(AC100&gt;0,Standing!$C$132*0.5,0)</f>
        <v>0</v>
      </c>
      <c r="CH100" s="283">
        <f>IF(AC100&gt;0,Standing!$C$132*0.5,0)</f>
        <v>0</v>
      </c>
      <c r="CI100" s="284">
        <f>IF(AC100&gt;0,Standing!$C$132*0.5,0)</f>
        <v>0</v>
      </c>
      <c r="CJ100" s="280">
        <f>IF(AC100&gt;0,Standing!$C$132*0.5,0)</f>
        <v>0</v>
      </c>
      <c r="CK100" s="281">
        <f>IF(AC100&gt;0,Standing!$C$126*0.55,0)</f>
        <v>0</v>
      </c>
      <c r="CL100" s="282">
        <f>IF(AC100&gt;0,Standing!$C$126*0.75,0)</f>
        <v>0</v>
      </c>
      <c r="CM100" s="283">
        <f>IF(AC100&gt;0,Standing!$C$126*0.7,0)</f>
        <v>0</v>
      </c>
      <c r="CN100" s="284">
        <f>IF(AC100&gt;0,Standing!$C$126*0.33,0)</f>
        <v>0</v>
      </c>
      <c r="CO100" s="280">
        <f>IF(AC100&gt;0,Standing!$C$126*0.4,0)</f>
        <v>0</v>
      </c>
      <c r="CP100" s="281">
        <f>IF(AC100&gt;0,Standing!$C$26*0.25,0)</f>
        <v>0</v>
      </c>
      <c r="CQ100" s="282">
        <f>IF(AC100&gt;0,Standing!$C$26*0.2,0)</f>
        <v>0</v>
      </c>
      <c r="CR100" s="283">
        <f>IF(AC100&gt;0,Standing!$C$26*0.25,0)</f>
        <v>0</v>
      </c>
      <c r="CS100" s="285">
        <f>IF(AC100&gt;0,Standing!$C$26*0.2,0)</f>
        <v>0</v>
      </c>
      <c r="CT100" s="286"/>
      <c r="CU100" s="158" t="s">
        <v>40</v>
      </c>
    </row>
    <row r="101" ht="15.75" customHeight="1">
      <c r="A101" s="51"/>
      <c r="B101" s="299" t="s">
        <v>556</v>
      </c>
      <c r="C101" s="189">
        <f>Standing!$C$32*0.33</f>
        <v>0.9724281496</v>
      </c>
      <c r="D101" s="218">
        <f t="shared" si="3"/>
        <v>0.3095327698</v>
      </c>
      <c r="E101" s="190">
        <f t="shared" si="4"/>
        <v>24.699675</v>
      </c>
      <c r="F101" s="122">
        <f t="shared" si="5"/>
        <v>7.862132353</v>
      </c>
      <c r="G101" s="123">
        <f>C101/Introduction!$I$20</f>
        <v>0.01012945989</v>
      </c>
      <c r="H101" s="192">
        <f t="shared" si="6"/>
        <v>0.003224299685</v>
      </c>
      <c r="I101" s="124">
        <f>E101/Introduction!$I$20</f>
        <v>0.2572882812</v>
      </c>
      <c r="J101" s="125">
        <f t="shared" si="7"/>
        <v>0.08189721201</v>
      </c>
      <c r="K101" s="51"/>
      <c r="L101" s="51"/>
      <c r="M101" s="51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286"/>
      <c r="AB101" s="158" t="s">
        <v>41</v>
      </c>
      <c r="AC101" s="287">
        <f>IF('Ship Data Imperial'!E102&gt;0,'Ship Data Imperial'!E102,AD101)</f>
        <v>0</v>
      </c>
      <c r="AD101" s="287">
        <f>'Ship Data Metric'!E102*0.03280839895</f>
        <v>0</v>
      </c>
      <c r="AE101" s="284">
        <f>IF(AC101&gt;0,Standing!$C$75*0.45,0)</f>
        <v>0</v>
      </c>
      <c r="AF101" s="280">
        <f>IF(AC101&gt;0,Standing!$C$75*0.25,0)</f>
        <v>0</v>
      </c>
      <c r="AG101" s="281">
        <f>IF(AC101&gt;0,Standing!$C$75*0.2,0)</f>
        <v>0</v>
      </c>
      <c r="AH101" s="282">
        <f>IF(AC101&gt;0,Standing!$C$75*0.5,0)</f>
        <v>0</v>
      </c>
      <c r="AI101" s="283">
        <f>IF(AC101&gt;0,Standing!$C$75*0.2,0)</f>
        <v>0</v>
      </c>
      <c r="AJ101" s="284">
        <f>IF(AC101&gt;0,Standing!$C$75*0.25,0)</f>
        <v>0</v>
      </c>
      <c r="AK101" s="281">
        <f>IF(AC101&gt;0,Standing!$C$81*0.8,0)</f>
        <v>0</v>
      </c>
      <c r="AL101" s="282">
        <f t="shared" si="8"/>
        <v>0</v>
      </c>
      <c r="AM101" s="283">
        <f>IF(AC101&gt;0,Standing!$C$81*0.45,0)</f>
        <v>0</v>
      </c>
      <c r="AN101" s="284">
        <f>IF(AC101&gt;0,Standing!$C$81*0.55,0)</f>
        <v>0</v>
      </c>
      <c r="AO101" s="280">
        <f>IF(AC101&gt;0,Standing!$C$81*0.36,0)</f>
        <v>0</v>
      </c>
      <c r="AP101" s="281">
        <f>IF(AC101&gt;0,Standing!$C$81*0.9,0)</f>
        <v>0</v>
      </c>
      <c r="AQ101" s="282">
        <f>IF(AC101&gt;0,Standing!$C$85*0.9,0)</f>
        <v>0</v>
      </c>
      <c r="AR101" s="283">
        <f>IF(AC101&gt;0,Standing!$C$85*0.5,0)</f>
        <v>0</v>
      </c>
      <c r="AS101" s="284">
        <f>IF(AC101&gt;0,Standing!$C$85*0.55,0)</f>
        <v>0</v>
      </c>
      <c r="AT101" s="280">
        <f>IF(AC101&gt;0,Standing!$C$85*0.66,0)</f>
        <v>0</v>
      </c>
      <c r="AU101" s="281">
        <f>IF(AC101&gt;0,Standing!$C$75*0.2,0)</f>
        <v>0</v>
      </c>
      <c r="AV101" s="282">
        <f>IF(AC101&gt;0,Standing!$C$75*0.2,0)</f>
        <v>0</v>
      </c>
      <c r="AW101" s="283">
        <f>IF(AC101&gt;0,Standing!$C$26*0.33,0)</f>
        <v>0</v>
      </c>
      <c r="AX101" s="284">
        <f>IF(AC101&gt;0,Standing!$C$26*0.2,0)</f>
        <v>0</v>
      </c>
      <c r="AY101" s="280">
        <f>IF(AC101&gt;0,Standing!$C$26*0.25,0)</f>
        <v>0</v>
      </c>
      <c r="AZ101" s="281">
        <f>IF(AC101&gt;0,Standing!$C$26*0.33,0)</f>
        <v>0</v>
      </c>
      <c r="BA101" s="282">
        <f>IF(AC101&gt;0,Standing!$C$26*0.15,0)</f>
        <v>0</v>
      </c>
      <c r="BB101" s="283">
        <f>IF(AC101&gt;0,Standing!$C$26*0.125,0)</f>
        <v>0</v>
      </c>
      <c r="BC101" s="284">
        <f>IF(AC101&gt;0,Standing!$C$32*0.33,0)</f>
        <v>0</v>
      </c>
      <c r="BD101" s="280">
        <f>IF(AC101&gt;0,Standing!$C$32*0.5,0)</f>
        <v>0</v>
      </c>
      <c r="BE101" s="281">
        <f>IF(AC101&gt;0,Standing!$C$32*0.33,0)</f>
        <v>0</v>
      </c>
      <c r="BF101" s="282">
        <f>IF(AC101&gt;0,Standing!$C$32*0.33,0)</f>
        <v>0</v>
      </c>
      <c r="BG101" s="283">
        <f>IF(AC101&gt;0,Standing!$C$32*0.25,0)</f>
        <v>0</v>
      </c>
      <c r="BH101" s="284">
        <f>IF(AC101&gt;0,Standing!$C$32*0.4,0)</f>
        <v>0</v>
      </c>
      <c r="BI101" s="280">
        <f>IF(AC101&gt;0,Standing!$C$26*0.5,0)</f>
        <v>0</v>
      </c>
      <c r="BJ101" s="281">
        <f>IF(AC101&gt;0,Standing!$C$26*0.45,0)</f>
        <v>0</v>
      </c>
      <c r="BK101" s="282">
        <f>IF(AC101&gt;0,Standing!$C$26*0.5,0)</f>
        <v>0</v>
      </c>
      <c r="BL101" s="283">
        <f>IF(AC101&gt;0,Standing!$C$32*0.66,0)</f>
        <v>0</v>
      </c>
      <c r="BM101" s="281">
        <f>IF(AC101&gt;0,Standing!$C$32*0.85,0)</f>
        <v>0</v>
      </c>
      <c r="BN101" s="284">
        <f t="shared" si="9"/>
        <v>0</v>
      </c>
      <c r="BO101" s="282">
        <f>IF(AC101&gt;0,Standing!$C$32*0.5,0)</f>
        <v>0</v>
      </c>
      <c r="BP101" s="280">
        <f>IF(AC101&gt;0,Standing!$C$32*0.45,0)</f>
        <v>0</v>
      </c>
      <c r="BQ101" s="281">
        <f>IF(AC101&gt;0,Standing!$C$32*0.66,0)</f>
        <v>0</v>
      </c>
      <c r="BR101" s="282">
        <f>IF(AC101&gt;0,Standing!$C$32*0.33,0)</f>
        <v>0</v>
      </c>
      <c r="BS101" s="283">
        <f>IF(AC101&gt;0,Standing!$C$32*0.33,0)</f>
        <v>0</v>
      </c>
      <c r="BT101" s="284">
        <f>IF(AC101&gt;0,Standing!$C$32*0.45,0)</f>
        <v>0</v>
      </c>
      <c r="BU101" s="280">
        <f>IF(AC101&gt;0,Standing!$C$36*0.9,0)</f>
        <v>0</v>
      </c>
      <c r="BV101" s="281">
        <f>IF(AC101&gt;0,Standing!$C$36*0.45,0)</f>
        <v>0</v>
      </c>
      <c r="BW101" s="282">
        <f>IF(AC101&gt;0,Standing!$C$126*0.66,0)</f>
        <v>0</v>
      </c>
      <c r="BX101" s="283">
        <f>IF(AC101&gt;0,Standing!$C$126*0.66,0)</f>
        <v>0</v>
      </c>
      <c r="BY101" s="284">
        <f>IF(AC101&gt;0,Standing!$C$126*0.4,0)</f>
        <v>0</v>
      </c>
      <c r="BZ101" s="280">
        <f>IF(AC101&gt;0,Standing!$C$126*0.33,0)</f>
        <v>0</v>
      </c>
      <c r="CA101" s="281">
        <f>IF(AC101&gt;0,Standing!$C$132*0.8,0)</f>
        <v>0</v>
      </c>
      <c r="CB101" s="282">
        <f>IF(AC101&gt;0,Standing!$C$132*0.66,0)</f>
        <v>0</v>
      </c>
      <c r="CC101" s="283">
        <f>IF(AC101&gt;0,Standing!$C$132*0.5,0)</f>
        <v>0</v>
      </c>
      <c r="CD101" s="284">
        <f>IF(AC101&gt;0,Standing!$C$132*0.5,0)</f>
        <v>0</v>
      </c>
      <c r="CE101" s="280">
        <f>IF(AC101&gt;0,Standing!$C$132*0.4,0)</f>
        <v>0</v>
      </c>
      <c r="CF101" s="281">
        <f>IF(AC101&gt;0,Standing!$C$132*0.66,0)</f>
        <v>0</v>
      </c>
      <c r="CG101" s="282">
        <f>IF(AC101&gt;0,Standing!$C$132*0.5,0)</f>
        <v>0</v>
      </c>
      <c r="CH101" s="283">
        <f>IF(AC101&gt;0,Standing!$C$132*0.5,0)</f>
        <v>0</v>
      </c>
      <c r="CI101" s="284">
        <f>IF(AC101&gt;0,Standing!$C$132*0.5,0)</f>
        <v>0</v>
      </c>
      <c r="CJ101" s="280">
        <f>IF(AC101&gt;0,Standing!$C$132*0.5,0)</f>
        <v>0</v>
      </c>
      <c r="CK101" s="281">
        <f>IF(AC101&gt;0,Standing!$C$126*0.55,0)</f>
        <v>0</v>
      </c>
      <c r="CL101" s="282">
        <f>IF(AC101&gt;0,Standing!$C$126*0.75,0)</f>
        <v>0</v>
      </c>
      <c r="CM101" s="283">
        <f>IF(AC101&gt;0,Standing!$C$126*0.7,0)</f>
        <v>0</v>
      </c>
      <c r="CN101" s="284">
        <f>IF(AC101&gt;0,Standing!$C$126*0.33,0)</f>
        <v>0</v>
      </c>
      <c r="CO101" s="280">
        <f>IF(AC101&gt;0,Standing!$C$126*0.4,0)</f>
        <v>0</v>
      </c>
      <c r="CP101" s="281">
        <f>IF(AC101&gt;0,Standing!$C$26*0.25,0)</f>
        <v>0</v>
      </c>
      <c r="CQ101" s="282">
        <f>IF(AC101&gt;0,Standing!$C$26*0.2,0)</f>
        <v>0</v>
      </c>
      <c r="CR101" s="283">
        <f>IF(AC101&gt;0,Standing!$C$26*0.25,0)</f>
        <v>0</v>
      </c>
      <c r="CS101" s="285">
        <f>IF(AC101&gt;0,Standing!$C$26*0.2,0)</f>
        <v>0</v>
      </c>
      <c r="CT101" s="286"/>
      <c r="CU101" s="158" t="s">
        <v>41</v>
      </c>
    </row>
    <row r="102" ht="15.75" customHeight="1">
      <c r="A102" s="51"/>
      <c r="B102" s="293" t="s">
        <v>557</v>
      </c>
      <c r="C102" s="189">
        <f>BU136</f>
        <v>1.8</v>
      </c>
      <c r="D102" s="218">
        <f t="shared" si="3"/>
        <v>0.5729564553</v>
      </c>
      <c r="E102" s="190">
        <f t="shared" si="4"/>
        <v>45.72</v>
      </c>
      <c r="F102" s="122">
        <f t="shared" si="5"/>
        <v>14.55309396</v>
      </c>
      <c r="G102" s="123">
        <f>C102/Introduction!$I$20</f>
        <v>0.01875</v>
      </c>
      <c r="H102" s="192">
        <f t="shared" si="6"/>
        <v>0.005968296409</v>
      </c>
      <c r="I102" s="124">
        <f>E102/Introduction!$I$20</f>
        <v>0.47625</v>
      </c>
      <c r="J102" s="125">
        <f t="shared" si="7"/>
        <v>0.1515947288</v>
      </c>
      <c r="K102" s="51"/>
      <c r="L102" s="51"/>
      <c r="M102" s="51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286"/>
      <c r="AB102" s="286" t="s">
        <v>27</v>
      </c>
      <c r="AC102" s="287">
        <f>IF('Ship Data Imperial'!E103&gt;0,'Ship Data Imperial'!E103,AD102)</f>
        <v>0</v>
      </c>
      <c r="AD102" s="287">
        <f>'Ship Data Metric'!E103*0.03280839895</f>
        <v>0</v>
      </c>
      <c r="AE102" s="284">
        <f>IF(AC102&gt;0,Standing!$C$75*0.45,0)</f>
        <v>0</v>
      </c>
      <c r="AF102" s="280">
        <f>IF(AC102&gt;0,Standing!$C$75*0.33,0)</f>
        <v>0</v>
      </c>
      <c r="AG102" s="281">
        <f>IF(AC102&gt;0,Standing!$C$75*0.2,0)</f>
        <v>0</v>
      </c>
      <c r="AH102" s="282">
        <f>IF(AC102&gt;0,Standing!$C$75*0.5,0)</f>
        <v>0</v>
      </c>
      <c r="AI102" s="283">
        <f>IF(AC102&gt;0,Standing!$C$75*0.2,0)</f>
        <v>0</v>
      </c>
      <c r="AJ102" s="284">
        <f>IF(AC102&gt;0,Standing!$C$75*0.25,0)</f>
        <v>0</v>
      </c>
      <c r="AK102" s="281">
        <f>IF(AC102&gt;0,Standing!$C$81*0.8,0)</f>
        <v>0</v>
      </c>
      <c r="AL102" s="282">
        <f t="shared" si="8"/>
        <v>0</v>
      </c>
      <c r="AM102" s="283">
        <f>IF(AC102&gt;0,Standing!$C$81*0.45,0)</f>
        <v>0</v>
      </c>
      <c r="AN102" s="284">
        <f>IF(AC102&gt;0,Standing!$C$81*0.55,0)</f>
        <v>0</v>
      </c>
      <c r="AO102" s="280">
        <f>IF(AC102&gt;0,Standing!$C$81*0.36,0)</f>
        <v>0</v>
      </c>
      <c r="AP102" s="281">
        <f>IF(AC102&gt;0,Standing!$C$81*0.9,0)</f>
        <v>0</v>
      </c>
      <c r="AQ102" s="282">
        <f>IF(AC102&gt;0,Standing!$C$85*0.9,0)</f>
        <v>0</v>
      </c>
      <c r="AR102" s="283">
        <f>IF(AC102&gt;0,Standing!$C$85*0.5,0)</f>
        <v>0</v>
      </c>
      <c r="AS102" s="284">
        <f>IF(AC102&gt;0,Standing!$C$85*0.55,0)</f>
        <v>0</v>
      </c>
      <c r="AT102" s="280">
        <f>IF(AC102&gt;0,Standing!$C$85*0.66,0)</f>
        <v>0</v>
      </c>
      <c r="AU102" s="281">
        <f>IF(AC102&gt;0,Standing!$C$75*0.25,0)</f>
        <v>0</v>
      </c>
      <c r="AV102" s="282">
        <f>IF(AC102&gt;0,Standing!$C$75*0.2,0)</f>
        <v>0</v>
      </c>
      <c r="AW102" s="283">
        <f>IF(AC102&gt;0,Standing!$C$26*0.33,0)</f>
        <v>0</v>
      </c>
      <c r="AX102" s="284">
        <f>IF(AC102&gt;0,Standing!$C$26*0.2,0)</f>
        <v>0</v>
      </c>
      <c r="AY102" s="280">
        <f>IF(AC102&gt;0,Standing!$C$26*0.25,0)</f>
        <v>0</v>
      </c>
      <c r="AZ102" s="281">
        <f>IF(AC102&gt;0,Standing!$C$26*0.33,0)</f>
        <v>0</v>
      </c>
      <c r="BA102" s="282">
        <f>IF(AC102&gt;0,Standing!$C$26*0.15,0)</f>
        <v>0</v>
      </c>
      <c r="BB102" s="283">
        <f>IF(AC102&gt;0,Standing!$C$26*0.125,0)</f>
        <v>0</v>
      </c>
      <c r="BC102" s="284">
        <f>IF(AC102&gt;0,Standing!$C$32*0.33,0)</f>
        <v>0</v>
      </c>
      <c r="BD102" s="280">
        <f>IF(AC102&gt;0,Standing!$C$32*0.5,0)</f>
        <v>0</v>
      </c>
      <c r="BE102" s="281">
        <f>IF(AC102&gt;0,Standing!$C$32*0.33,0)</f>
        <v>0</v>
      </c>
      <c r="BF102" s="282">
        <f>IF(AC102&gt;0,Standing!$C$32*0.33,0)</f>
        <v>0</v>
      </c>
      <c r="BG102" s="283">
        <f>IF(AC102&gt;0,Standing!$C$32*0.3,0)</f>
        <v>0</v>
      </c>
      <c r="BH102" s="284">
        <f>IF(AC102&gt;0,Standing!$C$32*0.4,0)</f>
        <v>0</v>
      </c>
      <c r="BI102" s="280">
        <f>IF(AC102&gt;0,Standing!$C$26*0.5,0)</f>
        <v>0</v>
      </c>
      <c r="BJ102" s="281">
        <f>IF(AC102&gt;0,Standing!$C$26*0.45,0)</f>
        <v>0</v>
      </c>
      <c r="BK102" s="282">
        <f>IF(AC102&gt;0,Standing!$C$26*0.5,0)</f>
        <v>0</v>
      </c>
      <c r="BL102" s="283">
        <f>IF(AC102&gt;0,Standing!$C$32*0.66,0)</f>
        <v>0</v>
      </c>
      <c r="BM102" s="281">
        <f>IF(AC102&gt;0,Standing!$C$32*0.85,0)</f>
        <v>0</v>
      </c>
      <c r="BN102" s="284">
        <f t="shared" si="9"/>
        <v>0</v>
      </c>
      <c r="BO102" s="282">
        <f>IF(AC102&gt;0,Standing!$C$32*0.45,0)</f>
        <v>0</v>
      </c>
      <c r="BP102" s="280">
        <f>IF(AC102&gt;0,Standing!$C$32*0.45,0)</f>
        <v>0</v>
      </c>
      <c r="BQ102" s="281">
        <f>IF(AC102&gt;0,Standing!$C$32*0.66,0)</f>
        <v>0</v>
      </c>
      <c r="BR102" s="282">
        <f>IF(AC102&gt;0,Standing!$C$32*0.33,0)</f>
        <v>0</v>
      </c>
      <c r="BS102" s="283">
        <f>IF(AC102&gt;0,Standing!$C$32*0.33,0)</f>
        <v>0</v>
      </c>
      <c r="BT102" s="284">
        <f>IF(AC102&gt;0,Standing!$C$32*0.45,0)</f>
        <v>0</v>
      </c>
      <c r="BU102" s="280">
        <f>IF(AC102&gt;0,Standing!$C$36*0.9,0)</f>
        <v>0</v>
      </c>
      <c r="BV102" s="281">
        <f>IF(AC102&gt;0,Standing!$C$36*0.45,0)</f>
        <v>0</v>
      </c>
      <c r="BW102" s="282">
        <f>IF(AC102&gt;0,Standing!$C$126*0.66,0)</f>
        <v>0</v>
      </c>
      <c r="BX102" s="283">
        <f>IF(AC102&gt;0,Standing!$C$126*0.66,0)</f>
        <v>0</v>
      </c>
      <c r="BY102" s="284">
        <f>IF(AC102&gt;0,Standing!$C$126*0.4,0)</f>
        <v>0</v>
      </c>
      <c r="BZ102" s="280">
        <f>IF(AC102&gt;0,Standing!$C$126*0.33,0)</f>
        <v>0</v>
      </c>
      <c r="CA102" s="281">
        <f>IF(AC102&gt;0,Standing!$C$132,0)</f>
        <v>0</v>
      </c>
      <c r="CB102" s="282">
        <f>IF(AC102&gt;0,Standing!$C$132*0.66,0)</f>
        <v>0</v>
      </c>
      <c r="CC102" s="283">
        <f>IF(AC102&gt;0,Standing!$C$132*0.5,0)</f>
        <v>0</v>
      </c>
      <c r="CD102" s="284">
        <f>IF(AC102&gt;0,Standing!$C$132*0.5,0)</f>
        <v>0</v>
      </c>
      <c r="CE102" s="280">
        <f>IF(AC102&gt;0,Standing!$C$132*0.5,0)</f>
        <v>0</v>
      </c>
      <c r="CF102" s="281">
        <f>IF(AC102&gt;0,Standing!$C$132*0.66,0)</f>
        <v>0</v>
      </c>
      <c r="CG102" s="282">
        <f>IF(AC102&gt;0,Standing!$C$132*0.5,0)</f>
        <v>0</v>
      </c>
      <c r="CH102" s="283">
        <f>IF(AC102&gt;0,Standing!$C$132*0.5,0)</f>
        <v>0</v>
      </c>
      <c r="CI102" s="284">
        <f>IF(AC102&gt;0,Standing!$C$132*0.5,0)</f>
        <v>0</v>
      </c>
      <c r="CJ102" s="280">
        <f>IF(AC102&gt;0,Standing!$C$132*0.5,0)</f>
        <v>0</v>
      </c>
      <c r="CK102" s="281">
        <f>IF(AC102&gt;0,Standing!$C$126*0.55,0)</f>
        <v>0</v>
      </c>
      <c r="CL102" s="282">
        <f>IF(AC102&gt;0,Standing!$C$126*0.75,0)</f>
        <v>0</v>
      </c>
      <c r="CM102" s="283">
        <f>IF(AC102&gt;0,Standing!$C$126*0.7,0)</f>
        <v>0</v>
      </c>
      <c r="CN102" s="284">
        <f>IF(AC102&gt;0,Standing!$C$126*0.33,0)</f>
        <v>0</v>
      </c>
      <c r="CO102" s="280">
        <f>IF(AC102&gt;0,Standing!$C$126*0.4,0)</f>
        <v>0</v>
      </c>
      <c r="CP102" s="281">
        <f>IF(AC102&gt;0,Standing!$C$26*0.33,0)</f>
        <v>0</v>
      </c>
      <c r="CQ102" s="282">
        <f>IF(AC102&gt;0,Standing!$C$26*0.2,0)</f>
        <v>0</v>
      </c>
      <c r="CR102" s="283">
        <f>IF(AC102&gt;0,Standing!$C$26*0.25,0)</f>
        <v>0</v>
      </c>
      <c r="CS102" s="285">
        <f>IF(AC102&gt;0,Standing!$C$26*0.2,0)</f>
        <v>0</v>
      </c>
      <c r="CT102" s="286"/>
      <c r="CU102" s="286" t="s">
        <v>27</v>
      </c>
    </row>
    <row r="103" ht="15.75" customHeight="1">
      <c r="A103" s="51"/>
      <c r="B103" s="296" t="s">
        <v>558</v>
      </c>
      <c r="C103" s="189">
        <f>IF(BV136&gt;1.5,BV136,1.5)</f>
        <v>1.5</v>
      </c>
      <c r="D103" s="218">
        <f t="shared" si="3"/>
        <v>0.4774637128</v>
      </c>
      <c r="E103" s="190">
        <f t="shared" si="4"/>
        <v>38.1</v>
      </c>
      <c r="F103" s="122">
        <f t="shared" si="5"/>
        <v>12.1275783</v>
      </c>
      <c r="G103" s="123">
        <f>C103/Introduction!$I$20</f>
        <v>0.015625</v>
      </c>
      <c r="H103" s="192">
        <f t="shared" si="6"/>
        <v>0.004973580341</v>
      </c>
      <c r="I103" s="124">
        <f>E103/Introduction!$I$20</f>
        <v>0.396875</v>
      </c>
      <c r="J103" s="125">
        <f t="shared" si="7"/>
        <v>0.1263289407</v>
      </c>
      <c r="K103" s="51"/>
      <c r="L103" s="51"/>
      <c r="M103" s="51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286"/>
      <c r="AB103" s="286" t="s">
        <v>28</v>
      </c>
      <c r="AC103" s="287">
        <f>IF('Ship Data Imperial'!E104&gt;0,'Ship Data Imperial'!E104,AD103)</f>
        <v>39.29002625</v>
      </c>
      <c r="AD103" s="287">
        <f>'Ship Data Metric'!E104*0.03280839895</f>
        <v>39.29002625</v>
      </c>
      <c r="AE103" s="284">
        <f>IF(AC103&gt;0,Standing!$C$75*0.65,0)</f>
        <v>4.25641951</v>
      </c>
      <c r="AF103" s="280">
        <f>IF(AC103&gt;0,Standing!$C$75*0.33,0)</f>
        <v>2.160951444</v>
      </c>
      <c r="AG103" s="281">
        <f>IF(AC103&gt;0,Standing!$C$75*0.2,0)</f>
        <v>1.309667542</v>
      </c>
      <c r="AH103" s="282">
        <f>IF(AC103&gt;0,Standing!$C$75*0.5,0)</f>
        <v>3.274168854</v>
      </c>
      <c r="AI103" s="283">
        <f>IF(AC103&gt;0,Standing!$C$75*0.2,0)</f>
        <v>1.309667542</v>
      </c>
      <c r="AJ103" s="284">
        <f>IF(AC103&gt;0,Standing!$C$75*0.25,0)</f>
        <v>1.637084427</v>
      </c>
      <c r="AK103" s="281">
        <f>IF(AC103&gt;0,Standing!$C$81*0.8,0)</f>
        <v>2.619335083</v>
      </c>
      <c r="AL103" s="282">
        <f t="shared" si="8"/>
        <v>1.728761155</v>
      </c>
      <c r="AM103" s="283">
        <f>IF(AC103&gt;0,Standing!$C$81*0.45,0)</f>
        <v>1.473375984</v>
      </c>
      <c r="AN103" s="284">
        <f>IF(AC103&gt;0,Standing!$C$81*0.55,0)</f>
        <v>1.80079287</v>
      </c>
      <c r="AO103" s="280">
        <f>IF(AC103&gt;0,Standing!$C$81*0.36,0)</f>
        <v>1.178700787</v>
      </c>
      <c r="AP103" s="281">
        <f>IF(AC103&gt;0,Standing!$C$81*0.9,0)</f>
        <v>2.946751968</v>
      </c>
      <c r="AQ103" s="282">
        <f>IF(AC103&gt;0,Standing!$C$85*0.9,0)</f>
        <v>1.8</v>
      </c>
      <c r="AR103" s="283">
        <f>IF(AC103&gt;0,Standing!$C$85*0.5,0)</f>
        <v>1</v>
      </c>
      <c r="AS103" s="284">
        <f>IF(AC103&gt;0,Standing!$C$85*0.55,0)</f>
        <v>1.1</v>
      </c>
      <c r="AT103" s="280">
        <f>IF(AC103&gt;0,Standing!$C$85*0.66,0)</f>
        <v>1.32</v>
      </c>
      <c r="AU103" s="281">
        <f>IF(AC103&gt;0,Standing!$C$75*0.25,0)</f>
        <v>1.637084427</v>
      </c>
      <c r="AV103" s="282">
        <f>IF(AC103&gt;0,Standing!$C$75*0.2,0)</f>
        <v>1.309667542</v>
      </c>
      <c r="AW103" s="283">
        <f>IF(AC103&gt;0,Standing!$C$26*0.33,0)</f>
        <v>1.944856299</v>
      </c>
      <c r="AX103" s="284">
        <f>IF(AC103&gt;0,Standing!$C$26*0.2,0)</f>
        <v>1.178700787</v>
      </c>
      <c r="AY103" s="280">
        <f>IF(AC103&gt;0,Standing!$C$26*0.25,0)</f>
        <v>1.473375984</v>
      </c>
      <c r="AZ103" s="281">
        <f>IF(AC103&gt;0,Standing!$C$26*0.33,0)</f>
        <v>1.944856299</v>
      </c>
      <c r="BA103" s="282">
        <f>IF(AC103&gt;0,Standing!$C$26*0.15,0)</f>
        <v>0.8840255905</v>
      </c>
      <c r="BB103" s="283">
        <f>IF(AC103&gt;0,Standing!$C$26*0.125,0)</f>
        <v>0.7366879921</v>
      </c>
      <c r="BC103" s="284">
        <f>IF(AC103&gt;0,Standing!$C$32*0.33,0)</f>
        <v>0.9724281496</v>
      </c>
      <c r="BD103" s="280">
        <f>IF(AC103&gt;0,Standing!$C$32*0.5,0)</f>
        <v>1.473375984</v>
      </c>
      <c r="BE103" s="281">
        <f>IF(AC103&gt;0,Standing!$C$32*0.33,0)</f>
        <v>0.9724281496</v>
      </c>
      <c r="BF103" s="282">
        <f>IF(AC103&gt;0,Standing!$C$32*0.33,0)</f>
        <v>0.9724281496</v>
      </c>
      <c r="BG103" s="283">
        <f>IF(AC103&gt;0,Standing!$C$32*0.3,0)</f>
        <v>0.8840255905</v>
      </c>
      <c r="BH103" s="284">
        <f>IF(AC103&gt;0,Standing!$C$32*0.4,0)</f>
        <v>1.178700787</v>
      </c>
      <c r="BI103" s="280">
        <f>IF(AC103&gt;0,Standing!$C$26*0.75,0)</f>
        <v>4.420127953</v>
      </c>
      <c r="BJ103" s="281">
        <f>IF(AC103&gt;0,Standing!$C$26*0.65,0)</f>
        <v>3.830777559</v>
      </c>
      <c r="BK103" s="282">
        <f>IF(AC103&gt;0,Standing!$C$26*0.5,0)</f>
        <v>2.946751968</v>
      </c>
      <c r="BL103" s="283">
        <f>IF(AC103&gt;0,Standing!$C$32*0.66,0)</f>
        <v>1.944856299</v>
      </c>
      <c r="BM103" s="281">
        <f>IF(AC103&gt;0,Standing!$C$32*0.85,0)</f>
        <v>2.504739173</v>
      </c>
      <c r="BN103" s="284">
        <f t="shared" si="9"/>
        <v>1.054544304</v>
      </c>
      <c r="BO103" s="282">
        <f>IF(AC103&gt;0,Standing!$C$32*0.45,0)</f>
        <v>1.326038386</v>
      </c>
      <c r="BP103" s="280">
        <f>IF(AC103&gt;0,Standing!$C$32*0.45,0)</f>
        <v>1.326038386</v>
      </c>
      <c r="BQ103" s="281">
        <f>IF(AC103&gt;0,Standing!$C$32*0.66,0)</f>
        <v>1.944856299</v>
      </c>
      <c r="BR103" s="282">
        <f>IF(AC103&gt;0,Standing!$C$32*0.33,0)</f>
        <v>0.9724281496</v>
      </c>
      <c r="BS103" s="283">
        <f>IF(AC103&gt;0,Standing!$C$32*0.33,0)</f>
        <v>0.9724281496</v>
      </c>
      <c r="BT103" s="284">
        <f>IF(AC103&gt;0,Standing!$C$32*0.45,0)</f>
        <v>1.326038386</v>
      </c>
      <c r="BU103" s="280">
        <f>IF(AC103&gt;0,Standing!$C$36*0.9,0)</f>
        <v>1.8</v>
      </c>
      <c r="BV103" s="281">
        <f>IF(AC103&gt;0,Standing!$C$36*0.45,0)</f>
        <v>0.9</v>
      </c>
      <c r="BW103" s="282">
        <f>IF(AC103&gt;0,Standing!$C$126*0.66,0)</f>
        <v>2.446629224</v>
      </c>
      <c r="BX103" s="283">
        <f>IF(AC103&gt;0,Standing!$C$126*0.66,0)</f>
        <v>2.446629224</v>
      </c>
      <c r="BY103" s="284">
        <f>IF(AC103&gt;0,Standing!$C$126*0.4,0)</f>
        <v>1.482805591</v>
      </c>
      <c r="BZ103" s="280">
        <f>IF(AC103&gt;0,Standing!$C$126*0.33,0)</f>
        <v>1.223314612</v>
      </c>
      <c r="CA103" s="281">
        <f>IF(AC103&gt;0,Standing!$C$132,0)</f>
        <v>1.853506988</v>
      </c>
      <c r="CB103" s="282">
        <f>IF(AC103&gt;0,Standing!$C$132*0.66,0)</f>
        <v>1.223314612</v>
      </c>
      <c r="CC103" s="283">
        <f>IF(AC103&gt;0,Standing!$C$132*0.5,0)</f>
        <v>0.9267534941</v>
      </c>
      <c r="CD103" s="284">
        <f>IF(AC103&gt;0,Standing!$C$132*0.5,0)</f>
        <v>0.9267534941</v>
      </c>
      <c r="CE103" s="280">
        <f>IF(AC103&gt;0,Standing!$C$132*0.5,0)</f>
        <v>0.9267534941</v>
      </c>
      <c r="CF103" s="281">
        <f>IF(AC103&gt;0,Standing!$C$132*0.66,0)</f>
        <v>1.223314612</v>
      </c>
      <c r="CG103" s="282">
        <f>IF(AC103&gt;0,Standing!$C$132*0.5,0)</f>
        <v>0.9267534941</v>
      </c>
      <c r="CH103" s="283">
        <f>IF(AC103&gt;0,Standing!$C$132*0.5,0)</f>
        <v>0.9267534941</v>
      </c>
      <c r="CI103" s="284">
        <f>IF(AC103&gt;0,Standing!$C$132*0.5,0)</f>
        <v>0.9267534941</v>
      </c>
      <c r="CJ103" s="280">
        <f>IF(AC103&gt;0,Standing!$C$132*0.5,0)</f>
        <v>0.9267534941</v>
      </c>
      <c r="CK103" s="281">
        <f>IF(AC103&gt;0,Standing!$C$126*0.55,0)</f>
        <v>2.038857687</v>
      </c>
      <c r="CL103" s="282">
        <f>IF(AC103&gt;0,Standing!$C$126*0.75,0)</f>
        <v>2.780260482</v>
      </c>
      <c r="CM103" s="283">
        <f>IF(AC103&gt;0,Standing!$C$126*0.7,0)</f>
        <v>2.594909783</v>
      </c>
      <c r="CN103" s="284">
        <f>IF(AC103&gt;0,Standing!$C$126*0.33,0)</f>
        <v>1.223314612</v>
      </c>
      <c r="CO103" s="280">
        <f>IF(AC103&gt;0,Standing!$C$126*0.4,0)</f>
        <v>1.482805591</v>
      </c>
      <c r="CP103" s="281">
        <f>IF(AC103&gt;0,Standing!$C$26*0.33,0)</f>
        <v>1.944856299</v>
      </c>
      <c r="CQ103" s="282">
        <f>IF(AC103&gt;0,Standing!$C$26*0.2,0)</f>
        <v>1.178700787</v>
      </c>
      <c r="CR103" s="283">
        <f>IF(AC103&gt;0,Standing!$C$26*0.25,0)</f>
        <v>1.473375984</v>
      </c>
      <c r="CS103" s="285">
        <f>IF(AC103&gt;0,Standing!$C$26*0.2,0)</f>
        <v>1.178700787</v>
      </c>
      <c r="CT103" s="286"/>
      <c r="CU103" s="286" t="s">
        <v>28</v>
      </c>
    </row>
    <row r="104" ht="15.75" customHeight="1">
      <c r="A104" s="51"/>
      <c r="B104" s="296" t="s">
        <v>559</v>
      </c>
      <c r="C104" s="189">
        <f>Standing!$C$36*0.55</f>
        <v>1.1</v>
      </c>
      <c r="D104" s="218">
        <f t="shared" si="3"/>
        <v>0.350140056</v>
      </c>
      <c r="E104" s="190">
        <f t="shared" si="4"/>
        <v>27.94</v>
      </c>
      <c r="F104" s="122">
        <f t="shared" si="5"/>
        <v>8.893557423</v>
      </c>
      <c r="G104" s="123">
        <f>C104/Introduction!$I$20</f>
        <v>0.01145833333</v>
      </c>
      <c r="H104" s="192">
        <f t="shared" si="6"/>
        <v>0.00364729225</v>
      </c>
      <c r="I104" s="124">
        <f>E104/Introduction!$I$20</f>
        <v>0.2910416667</v>
      </c>
      <c r="J104" s="125">
        <f t="shared" si="7"/>
        <v>0.09264122316</v>
      </c>
      <c r="K104" s="51"/>
      <c r="L104" s="51"/>
      <c r="M104" s="51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286"/>
      <c r="AB104" s="286" t="s">
        <v>29</v>
      </c>
      <c r="AC104" s="287">
        <f>IF('Ship Data Imperial'!E105&gt;0,'Ship Data Imperial'!E105,AD104)</f>
        <v>0</v>
      </c>
      <c r="AD104" s="287">
        <f>'Ship Data Metric'!E105*0.03280839895</f>
        <v>0</v>
      </c>
      <c r="AE104" s="284">
        <f>IF(AC104&gt;0,Standing!$C$75*0.65,0)</f>
        <v>0</v>
      </c>
      <c r="AF104" s="280">
        <f>IF(AC104&gt;0,Standing!$C$75*0.33,0)</f>
        <v>0</v>
      </c>
      <c r="AG104" s="281">
        <f>IF(AC104&gt;0,Standing!$C$75*0.2,0)</f>
        <v>0</v>
      </c>
      <c r="AH104" s="282">
        <f>IF(AC104&gt;0,Standing!$C$75*0.5,0)</f>
        <v>0</v>
      </c>
      <c r="AI104" s="283">
        <f>IF(AC104&gt;0,Standing!$C$75*0.2,0)</f>
        <v>0</v>
      </c>
      <c r="AJ104" s="284">
        <f>IF(AC104&gt;0,Standing!$C$75*0.25,0)</f>
        <v>0</v>
      </c>
      <c r="AK104" s="281">
        <f>IF(AC104&gt;0,Standing!$C$81*0.8,0)</f>
        <v>0</v>
      </c>
      <c r="AL104" s="282">
        <f t="shared" si="8"/>
        <v>0</v>
      </c>
      <c r="AM104" s="283">
        <f>IF(AC104&gt;0,Standing!$C$81*0.45,0)</f>
        <v>0</v>
      </c>
      <c r="AN104" s="284">
        <f>IF(AC104&gt;0,Standing!$C$81*0.55,0)</f>
        <v>0</v>
      </c>
      <c r="AO104" s="280">
        <f>IF(AC104&gt;0,Standing!$C$81*0.36,0)</f>
        <v>0</v>
      </c>
      <c r="AP104" s="281">
        <f>IF(AC104&gt;0,Standing!$C$81*0.9,0)</f>
        <v>0</v>
      </c>
      <c r="AQ104" s="282">
        <f>IF(AC104&gt;0,Standing!$C$85*0.9,0)</f>
        <v>0</v>
      </c>
      <c r="AR104" s="283">
        <f>IF(AC104&gt;0,Standing!$C$85*0.5,0)</f>
        <v>0</v>
      </c>
      <c r="AS104" s="284">
        <f>IF(AC104&gt;0,Standing!$C$85*0.55,0)</f>
        <v>0</v>
      </c>
      <c r="AT104" s="280">
        <f>IF(AC104&gt;0,Standing!$C$85*0.66,0)</f>
        <v>0</v>
      </c>
      <c r="AU104" s="281">
        <f>IF(AC104&gt;0,Standing!$C$75*0.25,0)</f>
        <v>0</v>
      </c>
      <c r="AV104" s="282">
        <f>IF(AC104&gt;0,Standing!$C$75*0.2,0)</f>
        <v>0</v>
      </c>
      <c r="AW104" s="283">
        <f>IF(AC104&gt;0,Standing!$C$26*0.33,0)</f>
        <v>0</v>
      </c>
      <c r="AX104" s="284">
        <f>IF(AC104&gt;0,Standing!$C$26*0.2,0)</f>
        <v>0</v>
      </c>
      <c r="AY104" s="280">
        <f>IF(AC104&gt;0,Standing!$C$26*0.25,0)</f>
        <v>0</v>
      </c>
      <c r="AZ104" s="281">
        <f>IF(AC104&gt;0,Standing!$C$26*0.33,0)</f>
        <v>0</v>
      </c>
      <c r="BA104" s="282">
        <f>IF(AC104&gt;0,Standing!$C$26*0.15,0)</f>
        <v>0</v>
      </c>
      <c r="BB104" s="283">
        <f>IF(AC104&gt;0,Standing!$C$26*0.125,0)</f>
        <v>0</v>
      </c>
      <c r="BC104" s="284">
        <f>IF(AC104&gt;0,Standing!$C$32*0.33,0)</f>
        <v>0</v>
      </c>
      <c r="BD104" s="280">
        <f>IF(AC104&gt;0,Standing!$C$32*0.5,0)</f>
        <v>0</v>
      </c>
      <c r="BE104" s="281">
        <f>IF(AC104&gt;0,Standing!$C$32*0.33,0)</f>
        <v>0</v>
      </c>
      <c r="BF104" s="282">
        <f>IF(AC104&gt;0,Standing!$C$32*0.33,0)</f>
        <v>0</v>
      </c>
      <c r="BG104" s="283">
        <f>IF(AC104&gt;0,Standing!$C$32*0.3,0)</f>
        <v>0</v>
      </c>
      <c r="BH104" s="284">
        <f>IF(AC104&gt;0,Standing!$C$32*0.4,0)</f>
        <v>0</v>
      </c>
      <c r="BI104" s="280">
        <f>IF(AC104&gt;0,Standing!$C$26*0.75,0)</f>
        <v>0</v>
      </c>
      <c r="BJ104" s="281">
        <f>IF(AC104&gt;0,Standing!$C$26*0.65,0)</f>
        <v>0</v>
      </c>
      <c r="BK104" s="282">
        <f>IF(AC104&gt;0,Standing!$C$26*0.5,0)</f>
        <v>0</v>
      </c>
      <c r="BL104" s="283">
        <f>IF(AC104&gt;0,Standing!$C$32*0.66,0)</f>
        <v>0</v>
      </c>
      <c r="BM104" s="281">
        <f>IF(AC104&gt;0,Standing!$C$32*0.85,0)</f>
        <v>0</v>
      </c>
      <c r="BN104" s="284">
        <f t="shared" si="9"/>
        <v>0</v>
      </c>
      <c r="BO104" s="282">
        <f>IF(AC104&gt;0,Standing!$C$32*0.45,0)</f>
        <v>0</v>
      </c>
      <c r="BP104" s="280">
        <f>IF(AC104&gt;0,Standing!$C$32*0.45,0)</f>
        <v>0</v>
      </c>
      <c r="BQ104" s="281">
        <f>IF(AC104&gt;0,Standing!$C$32*0.66,0)</f>
        <v>0</v>
      </c>
      <c r="BR104" s="282">
        <f>IF(AC104&gt;0,Standing!$C$32*0.33,0)</f>
        <v>0</v>
      </c>
      <c r="BS104" s="283">
        <f>IF(AC104&gt;0,Standing!$C$32*0.375,0)</f>
        <v>0</v>
      </c>
      <c r="BT104" s="284">
        <f>IF(AC104&gt;0,Standing!$C$32*0.45,0)</f>
        <v>0</v>
      </c>
      <c r="BU104" s="280">
        <f>IF(AC104&gt;0,Standing!$C$36*0.9,0)</f>
        <v>0</v>
      </c>
      <c r="BV104" s="281">
        <f>IF(AC104&gt;0,Standing!$C$36*0.45,0)</f>
        <v>0</v>
      </c>
      <c r="BW104" s="282">
        <f>IF(AC104&gt;0,Standing!$C$126*0.66,0)</f>
        <v>0</v>
      </c>
      <c r="BX104" s="283">
        <f>IF(AC104&gt;0,Standing!$C$126*0.66,0)</f>
        <v>0</v>
      </c>
      <c r="BY104" s="284">
        <f>IF(AC104&gt;0,Standing!$C$126*0.4,0)</f>
        <v>0</v>
      </c>
      <c r="BZ104" s="280">
        <f>IF(AC104&gt;0,Standing!$C$126*0.33,0)</f>
        <v>0</v>
      </c>
      <c r="CA104" s="281">
        <f>IF(AC104&gt;0,Standing!$C$132,0)</f>
        <v>0</v>
      </c>
      <c r="CB104" s="282">
        <f>IF(AC104&gt;0,Standing!$C$132*0.66,0)</f>
        <v>0</v>
      </c>
      <c r="CC104" s="283">
        <f>IF(AC104&gt;0,Standing!$C$132*0.5,0)</f>
        <v>0</v>
      </c>
      <c r="CD104" s="284">
        <f>IF(AC104&gt;0,Standing!$C$132*0.5,0)</f>
        <v>0</v>
      </c>
      <c r="CE104" s="280">
        <f>IF(AC104&gt;0,Standing!$C$132*0.5,0)</f>
        <v>0</v>
      </c>
      <c r="CF104" s="281">
        <f>IF(AC104&gt;0,Standing!$C$132*0.66,0)</f>
        <v>0</v>
      </c>
      <c r="CG104" s="282">
        <f>IF(AC104&gt;0,Standing!$C$132*0.5,0)</f>
        <v>0</v>
      </c>
      <c r="CH104" s="283">
        <f>IF(AC104&gt;0,Standing!$C$132*0.5,0)</f>
        <v>0</v>
      </c>
      <c r="CI104" s="284">
        <f>IF(AC104&gt;0,Standing!$C$132*0.5,0)</f>
        <v>0</v>
      </c>
      <c r="CJ104" s="280">
        <f>IF(AC104&gt;0,Standing!$C$132*0.5,0)</f>
        <v>0</v>
      </c>
      <c r="CK104" s="281">
        <f>IF(AC104&gt;0,Standing!$C$126*0.55,0)</f>
        <v>0</v>
      </c>
      <c r="CL104" s="282">
        <f>IF(AC104&gt;0,Standing!$C$126*0.75,0)</f>
        <v>0</v>
      </c>
      <c r="CM104" s="283">
        <f>IF(AC104&gt;0,Standing!$C$126*0.7,0)</f>
        <v>0</v>
      </c>
      <c r="CN104" s="284">
        <f>IF(AC104&gt;0,Standing!$C$126*0.33,0)</f>
        <v>0</v>
      </c>
      <c r="CO104" s="280">
        <f>IF(AC104&gt;0,Standing!$C$126*0.4,0)</f>
        <v>0</v>
      </c>
      <c r="CP104" s="281">
        <f>IF(AC104&gt;0,Standing!$C$26*0.33,0)</f>
        <v>0</v>
      </c>
      <c r="CQ104" s="282">
        <f>IF(AC104&gt;0,Standing!$C$26*0.2,0)</f>
        <v>0</v>
      </c>
      <c r="CR104" s="283">
        <f>IF(AC104&gt;0,Standing!$C$26*0.25,0)</f>
        <v>0</v>
      </c>
      <c r="CS104" s="285">
        <f>IF(AC104&gt;0,Standing!$C$26*0.2,0)</f>
        <v>0</v>
      </c>
      <c r="CT104" s="286"/>
      <c r="CU104" s="286" t="s">
        <v>29</v>
      </c>
    </row>
    <row r="105" ht="15.75" customHeight="1">
      <c r="A105" s="51"/>
      <c r="B105" s="296" t="s">
        <v>560</v>
      </c>
      <c r="C105" s="189">
        <f>Standing!C36*0.55</f>
        <v>1.1</v>
      </c>
      <c r="D105" s="218">
        <f t="shared" si="3"/>
        <v>0.350140056</v>
      </c>
      <c r="E105" s="190">
        <f t="shared" si="4"/>
        <v>27.94</v>
      </c>
      <c r="F105" s="122">
        <f t="shared" si="5"/>
        <v>8.893557423</v>
      </c>
      <c r="G105" s="123">
        <f>C105/Introduction!$I$20</f>
        <v>0.01145833333</v>
      </c>
      <c r="H105" s="192">
        <f t="shared" si="6"/>
        <v>0.00364729225</v>
      </c>
      <c r="I105" s="124">
        <f>E105/Introduction!$I$20</f>
        <v>0.2910416667</v>
      </c>
      <c r="J105" s="125">
        <f t="shared" si="7"/>
        <v>0.09264122316</v>
      </c>
      <c r="K105" s="51"/>
      <c r="L105" s="51"/>
      <c r="M105" s="51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286"/>
      <c r="AB105" s="158" t="s">
        <v>56</v>
      </c>
      <c r="AC105" s="287">
        <f>IF('Ship Data Imperial'!E106&gt;0,'Ship Data Imperial'!E106,AD105)</f>
        <v>0</v>
      </c>
      <c r="AD105" s="287">
        <f>'Ship Data Metric'!E106*0.03280839895</f>
        <v>0</v>
      </c>
      <c r="AE105" s="284">
        <f>IF(AC105&gt;0,Standing!$C$75*0.65,0)</f>
        <v>0</v>
      </c>
      <c r="AF105" s="280">
        <f>IF(AC105&gt;0,Standing!$C$75*0.33,0)</f>
        <v>0</v>
      </c>
      <c r="AG105" s="281">
        <f>IF(AC105&gt;0,Standing!$C$75*0.2,0)</f>
        <v>0</v>
      </c>
      <c r="AH105" s="282">
        <f>IF(AC105&gt;0,Standing!$C$75*0.5,0)</f>
        <v>0</v>
      </c>
      <c r="AI105" s="283">
        <f>IF(AC105&gt;0,Standing!$C$75*0.2,0)</f>
        <v>0</v>
      </c>
      <c r="AJ105" s="284">
        <f>IF(AC105&gt;0,Standing!$C$75*0.25,0)</f>
        <v>0</v>
      </c>
      <c r="AK105" s="281">
        <f>IF(AC105&gt;0,Standing!$C$81*0.8,0)</f>
        <v>0</v>
      </c>
      <c r="AL105" s="282">
        <f t="shared" si="8"/>
        <v>0</v>
      </c>
      <c r="AM105" s="283">
        <f>IF(AC105&gt;0,Standing!$C$81*0.45,0)</f>
        <v>0</v>
      </c>
      <c r="AN105" s="284">
        <f>IF(AC105&gt;0,Standing!$C$81*0.55,0)</f>
        <v>0</v>
      </c>
      <c r="AO105" s="280">
        <f>IF(AC105&gt;0,Standing!$C$81*0.36,0)</f>
        <v>0</v>
      </c>
      <c r="AP105" s="281">
        <f>IF(AC105&gt;0,Standing!$C$81*0.9,0)</f>
        <v>0</v>
      </c>
      <c r="AQ105" s="282">
        <f>IF(AC105&gt;0,Standing!$C$85*0.9,0)</f>
        <v>0</v>
      </c>
      <c r="AR105" s="283">
        <f>IF(AC105&gt;0,Standing!$C$85*0.5,0)</f>
        <v>0</v>
      </c>
      <c r="AS105" s="284">
        <f>IF(AC105&gt;0,Standing!$C$85*0.55,0)</f>
        <v>0</v>
      </c>
      <c r="AT105" s="280">
        <f>IF(AC105&gt;0,Standing!$C$85*0.66,0)</f>
        <v>0</v>
      </c>
      <c r="AU105" s="281">
        <f>IF(AC105&gt;0,Standing!$C$75*0.25,0)</f>
        <v>0</v>
      </c>
      <c r="AV105" s="282">
        <f>IF(AC105&gt;0,Standing!$C$75*0.2,0)</f>
        <v>0</v>
      </c>
      <c r="AW105" s="283">
        <f>IF(AC105&gt;0,Standing!$C$26*0.33,0)</f>
        <v>0</v>
      </c>
      <c r="AX105" s="284">
        <f>IF(AC105&gt;0,Standing!$C$26*0.2,0)</f>
        <v>0</v>
      </c>
      <c r="AY105" s="280">
        <f>IF(AC105&gt;0,Standing!$C$26*0.25,0)</f>
        <v>0</v>
      </c>
      <c r="AZ105" s="281">
        <f>IF(AC105&gt;0,Standing!$C$26*0.33,0)</f>
        <v>0</v>
      </c>
      <c r="BA105" s="282">
        <f>IF(AC105&gt;0,Standing!$C$26*0.15,0)</f>
        <v>0</v>
      </c>
      <c r="BB105" s="283">
        <f>IF(AC105&gt;0,Standing!$C$26*0.125,0)</f>
        <v>0</v>
      </c>
      <c r="BC105" s="284">
        <f>IF(AC105&gt;0,Standing!$C$32*0.33,0)</f>
        <v>0</v>
      </c>
      <c r="BD105" s="280">
        <f>IF(AC105&gt;0,Standing!$C$32*0.5,0)</f>
        <v>0</v>
      </c>
      <c r="BE105" s="281">
        <f>IF(AC105&gt;0,Standing!$C$32*0.33,0)</f>
        <v>0</v>
      </c>
      <c r="BF105" s="282">
        <f>IF(AC105&gt;0,Standing!$C$32*0.33,0)</f>
        <v>0</v>
      </c>
      <c r="BG105" s="283">
        <f>IF(AC105&gt;0,Standing!$C$32*0.3,0)</f>
        <v>0</v>
      </c>
      <c r="BH105" s="284">
        <f>IF(AC105&gt;0,Standing!$C$32*0.4,0)</f>
        <v>0</v>
      </c>
      <c r="BI105" s="280">
        <f>IF(AC105&gt;0,Standing!$C$26*0.75,0)</f>
        <v>0</v>
      </c>
      <c r="BJ105" s="281">
        <f>IF(AC105&gt;0,Standing!$C$26*0.65,0)</f>
        <v>0</v>
      </c>
      <c r="BK105" s="282">
        <f>IF(AC105&gt;0,Standing!$C$26*0.5,0)</f>
        <v>0</v>
      </c>
      <c r="BL105" s="283">
        <f>IF(AC105&gt;0,Standing!$C$32*0.66,0)</f>
        <v>0</v>
      </c>
      <c r="BM105" s="281">
        <f>IF(AC105&gt;0,Standing!$C$32*0.85,0)</f>
        <v>0</v>
      </c>
      <c r="BN105" s="284">
        <f t="shared" si="9"/>
        <v>0</v>
      </c>
      <c r="BO105" s="282">
        <f>IF(AC105&gt;0,Standing!$C$32*0.45,0)</f>
        <v>0</v>
      </c>
      <c r="BP105" s="280">
        <f>IF(AC105&gt;0,Standing!$C$32*0.45,0)</f>
        <v>0</v>
      </c>
      <c r="BQ105" s="281">
        <f>IF(AC105&gt;0,Standing!$C$32*0.66,0)</f>
        <v>0</v>
      </c>
      <c r="BR105" s="282">
        <f>IF(AC105&gt;0,Standing!$C$32*0.33,0)</f>
        <v>0</v>
      </c>
      <c r="BS105" s="283">
        <f>IF(AC105&gt;0,Standing!$C$32*0.375,0)</f>
        <v>0</v>
      </c>
      <c r="BT105" s="284">
        <f>IF(AC105&gt;0,Standing!$C$32*0.45,0)</f>
        <v>0</v>
      </c>
      <c r="BU105" s="280">
        <f>IF(AC105&gt;0,Standing!$C$36*0.9,0)</f>
        <v>0</v>
      </c>
      <c r="BV105" s="281">
        <f>IF(AC105&gt;0,Standing!$C$36*0.45,0)</f>
        <v>0</v>
      </c>
      <c r="BW105" s="282">
        <f>IF(AC105&gt;0,Standing!$C$126*0.66,0)</f>
        <v>0</v>
      </c>
      <c r="BX105" s="283">
        <f>IF(AC105&gt;0,Standing!$C$126*0.66,0)</f>
        <v>0</v>
      </c>
      <c r="BY105" s="284">
        <f>IF(AC105&gt;0,Standing!$C$126*0.4,0)</f>
        <v>0</v>
      </c>
      <c r="BZ105" s="280">
        <f>IF(AC105&gt;0,Standing!$C$126*0.33,0)</f>
        <v>0</v>
      </c>
      <c r="CA105" s="281">
        <f>IF(AC105&gt;0,Standing!$C$132,0)</f>
        <v>0</v>
      </c>
      <c r="CB105" s="282">
        <f>IF(AC105&gt;0,Standing!$C$132*0.66,0)</f>
        <v>0</v>
      </c>
      <c r="CC105" s="283">
        <f>IF(AC105&gt;0,Standing!$C$132*0.5,0)</f>
        <v>0</v>
      </c>
      <c r="CD105" s="284">
        <f>IF(AC105&gt;0,Standing!$C$132*0.5,0)</f>
        <v>0</v>
      </c>
      <c r="CE105" s="280">
        <f>IF(AC105&gt;0,Standing!$C$132*0.5,0)</f>
        <v>0</v>
      </c>
      <c r="CF105" s="281">
        <f>IF(AC105&gt;0,Standing!$C$132*0.66,0)</f>
        <v>0</v>
      </c>
      <c r="CG105" s="282">
        <f>IF(AC105&gt;0,Standing!$C$132*0.5,0)</f>
        <v>0</v>
      </c>
      <c r="CH105" s="283">
        <f>IF(AC105&gt;0,Standing!$C$132*0.5,0)</f>
        <v>0</v>
      </c>
      <c r="CI105" s="284">
        <f>IF(AC105&gt;0,Standing!$C$132*0.5,0)</f>
        <v>0</v>
      </c>
      <c r="CJ105" s="280">
        <f>IF(AC105&gt;0,Standing!$C$132*0.5,0)</f>
        <v>0</v>
      </c>
      <c r="CK105" s="281">
        <f>IF(AC105&gt;0,Standing!$C$126*0.55,0)</f>
        <v>0</v>
      </c>
      <c r="CL105" s="282">
        <f>IF(AC105&gt;0,Standing!$C$126*0.75,0)</f>
        <v>0</v>
      </c>
      <c r="CM105" s="283">
        <f>IF(AC105&gt;0,Standing!$C$126*0.7,0)</f>
        <v>0</v>
      </c>
      <c r="CN105" s="284">
        <f>IF(AC105&gt;0,Standing!$C$126*0.33,0)</f>
        <v>0</v>
      </c>
      <c r="CO105" s="280">
        <f>IF(AC105&gt;0,Standing!$C$126*0.4,0)</f>
        <v>0</v>
      </c>
      <c r="CP105" s="281">
        <f>IF(AC105&gt;0,Standing!$C$26*0.33,0)</f>
        <v>0</v>
      </c>
      <c r="CQ105" s="282">
        <f>IF(AC105&gt;0,Standing!$C$26*0.2,0)</f>
        <v>0</v>
      </c>
      <c r="CR105" s="283">
        <f>IF(AC105&gt;0,Standing!$C$26*0.25,0)</f>
        <v>0</v>
      </c>
      <c r="CS105" s="285">
        <f>IF(AC105&gt;0,Standing!$C$26*0.2,0)</f>
        <v>0</v>
      </c>
      <c r="CT105" s="286"/>
      <c r="CU105" s="158" t="s">
        <v>56</v>
      </c>
    </row>
    <row r="106" ht="15.75" customHeight="1">
      <c r="A106" s="51"/>
      <c r="B106" s="296" t="s">
        <v>561</v>
      </c>
      <c r="C106" s="189">
        <f>IF(Standing!$C$36*0.66&gt;1.5,Standing!$C$36*0.66,1.5)</f>
        <v>1.5</v>
      </c>
      <c r="D106" s="218">
        <f t="shared" si="3"/>
        <v>0.4774637128</v>
      </c>
      <c r="E106" s="190">
        <f t="shared" si="4"/>
        <v>38.1</v>
      </c>
      <c r="F106" s="122">
        <f t="shared" si="5"/>
        <v>12.1275783</v>
      </c>
      <c r="G106" s="123">
        <f>C106/Introduction!$I$20</f>
        <v>0.015625</v>
      </c>
      <c r="H106" s="192">
        <f t="shared" si="6"/>
        <v>0.004973580341</v>
      </c>
      <c r="I106" s="124">
        <f>E106/Introduction!$I$20</f>
        <v>0.396875</v>
      </c>
      <c r="J106" s="125">
        <f t="shared" si="7"/>
        <v>0.1263289407</v>
      </c>
      <c r="K106" s="51"/>
      <c r="L106" s="51"/>
      <c r="M106" s="51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286" t="s">
        <v>52</v>
      </c>
      <c r="AB106" s="158" t="s">
        <v>24</v>
      </c>
      <c r="AC106" s="287">
        <f>IF('Ship Data Imperial'!E107&gt;0,'Ship Data Imperial'!E107,AD106)</f>
        <v>0</v>
      </c>
      <c r="AD106" s="287">
        <f>'Ship Data Metric'!E107*0.03280839895</f>
        <v>0</v>
      </c>
      <c r="AE106" s="284">
        <f>IF(AC106&gt;0,Standing!$C$75*0.45,0)</f>
        <v>0</v>
      </c>
      <c r="AF106" s="280">
        <f>IF(AC106&gt;0,Standing!$C$75*0.25,0)</f>
        <v>0</v>
      </c>
      <c r="AG106" s="281">
        <f>IF(AC106&gt;0,Standing!$C$75*0.165,0)</f>
        <v>0</v>
      </c>
      <c r="AH106" s="282">
        <f>IF(AC106&gt;0,Standing!$C$75*0.5,0)</f>
        <v>0</v>
      </c>
      <c r="AI106" s="283">
        <f>IF(AC106&gt;0,Standing!$C$75*0.16,0)</f>
        <v>0</v>
      </c>
      <c r="AJ106" s="284">
        <f>IF(AC106&gt;0,Standing!$C$75*0.2,0)</f>
        <v>0</v>
      </c>
      <c r="AK106" s="281">
        <f>IF(AC106&gt;0,Standing!$C$81*0.66,0)</f>
        <v>0</v>
      </c>
      <c r="AL106" s="282">
        <f t="shared" si="8"/>
        <v>0</v>
      </c>
      <c r="AM106" s="283">
        <f>IF(AC106&gt;0,Standing!$C$81*0.45,0)</f>
        <v>0</v>
      </c>
      <c r="AN106" s="284">
        <f>IF(AC106&gt;0,Standing!$C$81*0.55,0)</f>
        <v>0</v>
      </c>
      <c r="AO106" s="280">
        <f>IF(AC106&gt;0,Standing!$C$81*0.36,0)</f>
        <v>0</v>
      </c>
      <c r="AP106" s="281">
        <f>IF(AC106&gt;0,Standing!$C$81,0)</f>
        <v>0</v>
      </c>
      <c r="AQ106" s="282">
        <f>IF(AC106&gt;0,Standing!$C$85*0.9,0)</f>
        <v>0</v>
      </c>
      <c r="AR106" s="283">
        <f>IF(AC106&gt;0,Standing!$C$85*0.5,0)</f>
        <v>0</v>
      </c>
      <c r="AS106" s="284">
        <f>IF(AC106&gt;0,Standing!$C$85*0.55,0)</f>
        <v>0</v>
      </c>
      <c r="AT106" s="280">
        <f>IF(AC106&gt;0,Standing!$C$85*0.66,0)</f>
        <v>0</v>
      </c>
      <c r="AU106" s="281">
        <f>IF(AC106&gt;0,Standing!$C$75*0.2,0)</f>
        <v>0</v>
      </c>
      <c r="AV106" s="282">
        <f>IF(AC106&gt;0,Standing!$C$75*0.2,0)</f>
        <v>0</v>
      </c>
      <c r="AW106" s="283">
        <f>IF(AC106&gt;0,Standing!$C$26*0.33,0)</f>
        <v>0</v>
      </c>
      <c r="AX106" s="284">
        <f>IF(AC106&gt;0,Standing!$C$26*0.2,0)</f>
        <v>0</v>
      </c>
      <c r="AY106" s="280">
        <f>IF(AC106&gt;0,Standing!$C$26*0.25,0)</f>
        <v>0</v>
      </c>
      <c r="AZ106" s="281">
        <f>IF(AC106&gt;0,Standing!$C$26*0.33,0)</f>
        <v>0</v>
      </c>
      <c r="BA106" s="282">
        <f>IF(AC106&gt;0,Standing!$C$26*0.15,0)</f>
        <v>0</v>
      </c>
      <c r="BB106" s="283">
        <f>IF(AC106&gt;0,Standing!$C$26*0.125,0)</f>
        <v>0</v>
      </c>
      <c r="BC106" s="284">
        <f>IF(AC106&gt;0,Standing!$C$32*0.33,0)</f>
        <v>0</v>
      </c>
      <c r="BD106" s="280">
        <f>IF(AC106&gt;0,Standing!$C$32*0.5,0)</f>
        <v>0</v>
      </c>
      <c r="BE106" s="281">
        <f>IF(AC106&gt;0,Standing!$C$32*0.33,0)</f>
        <v>0</v>
      </c>
      <c r="BF106" s="282">
        <f>IF(AC106&gt;0,Standing!$C$32*0.33,0)</f>
        <v>0</v>
      </c>
      <c r="BG106" s="283">
        <f>IF(AC106&gt;0,Standing!$C$32*0.25,0)</f>
        <v>0</v>
      </c>
      <c r="BH106" s="284">
        <f>IF(AC106&gt;0,Standing!$C$32*0.33,0)</f>
        <v>0</v>
      </c>
      <c r="BI106" s="280">
        <f>IF(AC106&gt;0,Standing!$C$26*0.5,0)</f>
        <v>0</v>
      </c>
      <c r="BJ106" s="281">
        <f>IF(AC106&gt;0,Standing!$C$26*0.45,0)</f>
        <v>0</v>
      </c>
      <c r="BK106" s="282">
        <f>IF(AC106&gt;0,Standing!$C$26*0.5,0)</f>
        <v>0</v>
      </c>
      <c r="BL106" s="283">
        <f>IF(AC106&gt;0,Standing!$C$32*0.66,0)</f>
        <v>0</v>
      </c>
      <c r="BM106" s="281">
        <f>IF(AC106&gt;0,Standing!$C$32*0.9,0)</f>
        <v>0</v>
      </c>
      <c r="BN106" s="284">
        <f t="shared" si="9"/>
        <v>0</v>
      </c>
      <c r="BO106" s="282">
        <f>IF(AC106&gt;0,Standing!$C$32*0.5,0)</f>
        <v>0</v>
      </c>
      <c r="BP106" s="280">
        <f>IF(AC106&gt;0,Standing!$C$32*0.45,0)</f>
        <v>0</v>
      </c>
      <c r="BQ106" s="281">
        <f>IF(AC106&gt;0,Standing!$C$32*0.66,0)</f>
        <v>0</v>
      </c>
      <c r="BR106" s="282">
        <f>IF(AC106&gt;0,Standing!$C$32*0.33,0)</f>
        <v>0</v>
      </c>
      <c r="BS106" s="283">
        <f>IF(AC106&gt;0,Standing!$C$32*0.33,0)</f>
        <v>0</v>
      </c>
      <c r="BT106" s="284">
        <f>IF(AC106&gt;0,Standing!$C$32*0.45,0)</f>
        <v>0</v>
      </c>
      <c r="BU106" s="280">
        <f>IF(AC106&gt;0,Standing!$C$36*0.9,0)</f>
        <v>0</v>
      </c>
      <c r="BV106" s="281">
        <f>IF(AC106&gt;0,Standing!$C$36*0.45,0)</f>
        <v>0</v>
      </c>
      <c r="BW106" s="282">
        <f>IF(AC106&gt;0,Standing!$C$126*0.66,0)</f>
        <v>0</v>
      </c>
      <c r="BX106" s="283">
        <f>IF(AC106&gt;0,Standing!$C$126*0.66,0)</f>
        <v>0</v>
      </c>
      <c r="BY106" s="284">
        <f>IF(AC106&gt;0,Standing!$C$126*0.4,0)</f>
        <v>0</v>
      </c>
      <c r="BZ106" s="280">
        <f>IF(AC106&gt;0,Standing!$C$126*0.33,0)</f>
        <v>0</v>
      </c>
      <c r="CA106" s="281">
        <f>IF(AC106&gt;0,Standing!$C$132*0.8,0)</f>
        <v>0</v>
      </c>
      <c r="CB106" s="282">
        <f>IF(AC106&gt;0,Standing!$C$132*0.66,0)</f>
        <v>0</v>
      </c>
      <c r="CC106" s="283">
        <f>IF(AC106&gt;0,Standing!$C$132*0.5,0)</f>
        <v>0</v>
      </c>
      <c r="CD106" s="284">
        <f>IF(AC106&gt;0,Standing!$C$132*0.5,0)</f>
        <v>0</v>
      </c>
      <c r="CE106" s="280">
        <f>IF(AC106&gt;0,Standing!$C$132*0.4,0)</f>
        <v>0</v>
      </c>
      <c r="CF106" s="281">
        <f>IF(AC106&gt;0,Standing!$C$132*0.66,0)</f>
        <v>0</v>
      </c>
      <c r="CG106" s="282">
        <f>IF(AC106&gt;0,Standing!$C$132*0.5,0)</f>
        <v>0</v>
      </c>
      <c r="CH106" s="283">
        <f>IF(AC106&gt;0,Standing!$C$132*0.5,0)</f>
        <v>0</v>
      </c>
      <c r="CI106" s="284">
        <f>IF(AC106&gt;0,Standing!$C$132*0.5,0)</f>
        <v>0</v>
      </c>
      <c r="CJ106" s="280">
        <f>IF(AC106&gt;0,Standing!$C$132*0.5,0)</f>
        <v>0</v>
      </c>
      <c r="CK106" s="281">
        <f>IF(AC106&gt;0,Standing!$C$126*0.55,0)</f>
        <v>0</v>
      </c>
      <c r="CL106" s="282">
        <f>IF(AC106&gt;0,Standing!$C$126*0.75,0)</f>
        <v>0</v>
      </c>
      <c r="CM106" s="283">
        <f>IF(AC106&gt;0,Standing!$C$126*0.7,0)</f>
        <v>0</v>
      </c>
      <c r="CN106" s="284">
        <f>IF(AC106&gt;0,Standing!$C$126*0.33,0)</f>
        <v>0</v>
      </c>
      <c r="CO106" s="280">
        <f>IF(AC106&gt;0,Standing!$C$126*0.4,0)</f>
        <v>0</v>
      </c>
      <c r="CP106" s="281">
        <f>IF(AC106&gt;0,Standing!$C$26*0.25,0)</f>
        <v>0</v>
      </c>
      <c r="CQ106" s="282">
        <f>IF(AC106&gt;0,Standing!$C$26*0.165,0)</f>
        <v>0</v>
      </c>
      <c r="CR106" s="283">
        <f>IF(AC106&gt;0,Standing!$C$26*0.2,0)</f>
        <v>0</v>
      </c>
      <c r="CS106" s="285">
        <f>IF(AC106&gt;0,Standing!$C$26*0.16,0)</f>
        <v>0</v>
      </c>
      <c r="CT106" s="286" t="s">
        <v>52</v>
      </c>
      <c r="CU106" s="158" t="s">
        <v>24</v>
      </c>
    </row>
    <row r="107" ht="15.75" customHeight="1">
      <c r="A107" s="51"/>
      <c r="B107" s="296" t="s">
        <v>562</v>
      </c>
      <c r="C107" s="189">
        <f>IF(Standing!$C$36*0.66&gt;1.5,Standing!$C$36*0.66,1.5)</f>
        <v>1.5</v>
      </c>
      <c r="D107" s="218">
        <f t="shared" si="3"/>
        <v>0.4774637128</v>
      </c>
      <c r="E107" s="190">
        <f t="shared" si="4"/>
        <v>38.1</v>
      </c>
      <c r="F107" s="122">
        <f t="shared" si="5"/>
        <v>12.1275783</v>
      </c>
      <c r="G107" s="123">
        <f>C107/Introduction!$I$20</f>
        <v>0.015625</v>
      </c>
      <c r="H107" s="192">
        <f t="shared" si="6"/>
        <v>0.004973580341</v>
      </c>
      <c r="I107" s="124">
        <f>E107/Introduction!$I$20</f>
        <v>0.396875</v>
      </c>
      <c r="J107" s="125">
        <f t="shared" si="7"/>
        <v>0.1263289407</v>
      </c>
      <c r="K107" s="51"/>
      <c r="L107" s="51"/>
      <c r="M107" s="51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286"/>
      <c r="AB107" s="158" t="s">
        <v>25</v>
      </c>
      <c r="AC107" s="287">
        <f>IF('Ship Data Imperial'!E108&gt;0,'Ship Data Imperial'!E108,AD107)</f>
        <v>0</v>
      </c>
      <c r="AD107" s="287">
        <f>'Ship Data Metric'!E108*0.03280839895</f>
        <v>0</v>
      </c>
      <c r="AE107" s="284">
        <f>IF(AC107&gt;0,Standing!$C$75*0.45,0)</f>
        <v>0</v>
      </c>
      <c r="AF107" s="280">
        <f>IF(AC107&gt;0,Standing!$C$75*0.25,0)</f>
        <v>0</v>
      </c>
      <c r="AG107" s="281">
        <f>IF(AC107&gt;0,Standing!$C$75*0.165,0)</f>
        <v>0</v>
      </c>
      <c r="AH107" s="282">
        <f>IF(AC107&gt;0,Standing!$C$75*0.5,0)</f>
        <v>0</v>
      </c>
      <c r="AI107" s="283">
        <f>IF(AC107&gt;0,Standing!$C$75*0.16,0)</f>
        <v>0</v>
      </c>
      <c r="AJ107" s="284">
        <f>IF(AC107&gt;0,Standing!$C$75*0.2,0)</f>
        <v>0</v>
      </c>
      <c r="AK107" s="281">
        <f>IF(AC107&gt;0,Standing!$C$81*0.66,0)</f>
        <v>0</v>
      </c>
      <c r="AL107" s="282">
        <f t="shared" si="8"/>
        <v>0</v>
      </c>
      <c r="AM107" s="283">
        <f>IF(AC107&gt;0,Standing!$C$81*0.45,0)</f>
        <v>0</v>
      </c>
      <c r="AN107" s="284">
        <f>IF(AC107&gt;0,Standing!$C$81*0.55,0)</f>
        <v>0</v>
      </c>
      <c r="AO107" s="280">
        <f>IF(AC107&gt;0,Standing!$C$81*0.36,0)</f>
        <v>0</v>
      </c>
      <c r="AP107" s="281">
        <f>IF(AC107&gt;0,Standing!$C$81,0)</f>
        <v>0</v>
      </c>
      <c r="AQ107" s="282">
        <f>IF(AC107&gt;0,Standing!$C$85*0.9,0)</f>
        <v>0</v>
      </c>
      <c r="AR107" s="283">
        <f>IF(AC107&gt;0,Standing!$C$85*0.5,0)</f>
        <v>0</v>
      </c>
      <c r="AS107" s="284">
        <f>IF(AC107&gt;0,Standing!$C$85*0.55,0)</f>
        <v>0</v>
      </c>
      <c r="AT107" s="280">
        <f>IF(AC107&gt;0,Standing!$C$85*0.66,0)</f>
        <v>0</v>
      </c>
      <c r="AU107" s="281">
        <f>IF(AC107&gt;0,Standing!$C$75*0.2,0)</f>
        <v>0</v>
      </c>
      <c r="AV107" s="282">
        <f>IF(AC107&gt;0,Standing!$C$75*0.2,0)</f>
        <v>0</v>
      </c>
      <c r="AW107" s="283">
        <f>IF(AC107&gt;0,Standing!$C$26*0.33,0)</f>
        <v>0</v>
      </c>
      <c r="AX107" s="284">
        <f>IF(AC107&gt;0,Standing!$C$26*0.2,0)</f>
        <v>0</v>
      </c>
      <c r="AY107" s="280">
        <f>IF(AC107&gt;0,Standing!$C$26*0.25,0)</f>
        <v>0</v>
      </c>
      <c r="AZ107" s="281">
        <f>IF(AC107&gt;0,Standing!$C$26*0.33,0)</f>
        <v>0</v>
      </c>
      <c r="BA107" s="282">
        <f>IF(AC107&gt;0,Standing!$C$26*0.15,0)</f>
        <v>0</v>
      </c>
      <c r="BB107" s="283">
        <f>IF(AC107&gt;0,Standing!$C$26*0.125,0)</f>
        <v>0</v>
      </c>
      <c r="BC107" s="284">
        <f>IF(AC107&gt;0,Standing!$C$32*0.33,0)</f>
        <v>0</v>
      </c>
      <c r="BD107" s="280">
        <f>IF(AC107&gt;0,Standing!$C$32*0.5,0)</f>
        <v>0</v>
      </c>
      <c r="BE107" s="281">
        <f>IF(AC107&gt;0,Standing!$C$32*0.33,0)</f>
        <v>0</v>
      </c>
      <c r="BF107" s="282">
        <f>IF(AC107&gt;0,Standing!$C$32*0.33,0)</f>
        <v>0</v>
      </c>
      <c r="BG107" s="283">
        <f>IF(AC107&gt;0,Standing!$C$32*0.25,0)</f>
        <v>0</v>
      </c>
      <c r="BH107" s="284">
        <f>IF(AC107&gt;0,Standing!$C$32*0.33,0)</f>
        <v>0</v>
      </c>
      <c r="BI107" s="280">
        <f>IF(AC107&gt;0,Standing!$C$26*0.5,0)</f>
        <v>0</v>
      </c>
      <c r="BJ107" s="281">
        <f>IF(AC107&gt;0,Standing!$C$26*0.45,0)</f>
        <v>0</v>
      </c>
      <c r="BK107" s="282">
        <f>IF(AC107&gt;0,Standing!$C$26*0.5,0)</f>
        <v>0</v>
      </c>
      <c r="BL107" s="283">
        <f>IF(AC107&gt;0,Standing!$C$32*0.66,0)</f>
        <v>0</v>
      </c>
      <c r="BM107" s="281">
        <f>IF(AC107&gt;0,Standing!$C$32*0.9,0)</f>
        <v>0</v>
      </c>
      <c r="BN107" s="284">
        <f t="shared" si="9"/>
        <v>0</v>
      </c>
      <c r="BO107" s="282">
        <f>IF(AC107&gt;0,Standing!$C$32*0.5,0)</f>
        <v>0</v>
      </c>
      <c r="BP107" s="280">
        <f>IF(AC107&gt;0,Standing!$C$32*0.45,0)</f>
        <v>0</v>
      </c>
      <c r="BQ107" s="281">
        <f>IF(AC107&gt;0,Standing!$C$32*0.66,0)</f>
        <v>0</v>
      </c>
      <c r="BR107" s="282">
        <f>IF(AC107&gt;0,Standing!$C$32*0.33,0)</f>
        <v>0</v>
      </c>
      <c r="BS107" s="283">
        <f>IF(AC107&gt;0,Standing!$C$32*0.33,0)</f>
        <v>0</v>
      </c>
      <c r="BT107" s="284">
        <f>IF(AC107&gt;0,Standing!$C$32*0.45,0)</f>
        <v>0</v>
      </c>
      <c r="BU107" s="280">
        <f>IF(AC107&gt;0,Standing!$C$36*0.9,0)</f>
        <v>0</v>
      </c>
      <c r="BV107" s="281">
        <f>IF(AC107&gt;0,Standing!$C$36*0.45,0)</f>
        <v>0</v>
      </c>
      <c r="BW107" s="282">
        <f>IF(AC107&gt;0,Standing!$C$126*0.66,0)</f>
        <v>0</v>
      </c>
      <c r="BX107" s="283">
        <f>IF(AC107&gt;0,Standing!$C$126*0.66,0)</f>
        <v>0</v>
      </c>
      <c r="BY107" s="284">
        <f>IF(AC107&gt;0,Standing!$C$126*0.4,0)</f>
        <v>0</v>
      </c>
      <c r="BZ107" s="280">
        <f>IF(AC107&gt;0,Standing!$C$126*0.33,0)</f>
        <v>0</v>
      </c>
      <c r="CA107" s="281">
        <f>IF(AC107&gt;0,Standing!$C$132*0.8,0)</f>
        <v>0</v>
      </c>
      <c r="CB107" s="282">
        <f>IF(AC107&gt;0,Standing!$C$132*0.66,0)</f>
        <v>0</v>
      </c>
      <c r="CC107" s="283">
        <f>IF(AC107&gt;0,Standing!$C$132*0.5,0)</f>
        <v>0</v>
      </c>
      <c r="CD107" s="284">
        <f>IF(AC107&gt;0,Standing!$C$132*0.5,0)</f>
        <v>0</v>
      </c>
      <c r="CE107" s="280">
        <f>IF(AC107&gt;0,Standing!$C$132*0.4,0)</f>
        <v>0</v>
      </c>
      <c r="CF107" s="281">
        <f>IF(AC107&gt;0,Standing!$C$132*0.66,0)</f>
        <v>0</v>
      </c>
      <c r="CG107" s="282">
        <f>IF(AC107&gt;0,Standing!$C$132*0.5,0)</f>
        <v>0</v>
      </c>
      <c r="CH107" s="283">
        <f>IF(AC107&gt;0,Standing!$C$132*0.5,0)</f>
        <v>0</v>
      </c>
      <c r="CI107" s="284">
        <f>IF(AC107&gt;0,Standing!$C$132*0.5,0)</f>
        <v>0</v>
      </c>
      <c r="CJ107" s="280">
        <f>IF(AC107&gt;0,Standing!$C$132*0.5,0)</f>
        <v>0</v>
      </c>
      <c r="CK107" s="281">
        <f>IF(AC107&gt;0,Standing!$C$126*0.55,0)</f>
        <v>0</v>
      </c>
      <c r="CL107" s="282">
        <f>IF(AC107&gt;0,Standing!$C$126*0.75,0)</f>
        <v>0</v>
      </c>
      <c r="CM107" s="283">
        <f>IF(AC107&gt;0,Standing!$C$126*0.7,0)</f>
        <v>0</v>
      </c>
      <c r="CN107" s="284">
        <f>IF(AC107&gt;0,Standing!$C$126*0.33,0)</f>
        <v>0</v>
      </c>
      <c r="CO107" s="280">
        <f>IF(AC107&gt;0,Standing!$C$126*0.4,0)</f>
        <v>0</v>
      </c>
      <c r="CP107" s="281">
        <f>IF(AC107&gt;0,Standing!$C$26*0.25,0)</f>
        <v>0</v>
      </c>
      <c r="CQ107" s="282">
        <f>IF(AC107&gt;0,Standing!$C$26*0.165,0)</f>
        <v>0</v>
      </c>
      <c r="CR107" s="283">
        <f>IF(AC107&gt;0,Standing!$C$26*0.2,0)</f>
        <v>0</v>
      </c>
      <c r="CS107" s="285">
        <f>IF(AC107&gt;0,Standing!$C$26*0.16,0)</f>
        <v>0</v>
      </c>
      <c r="CT107" s="286"/>
      <c r="CU107" s="158" t="s">
        <v>25</v>
      </c>
    </row>
    <row r="108" ht="15.75" customHeight="1">
      <c r="A108" s="51"/>
      <c r="B108" s="296" t="s">
        <v>563</v>
      </c>
      <c r="C108" s="189">
        <f>IF(Standing!$C$36*0.5&gt;1.5,Standing!$C$36*0.5,1.5)</f>
        <v>1.5</v>
      </c>
      <c r="D108" s="218">
        <f t="shared" si="3"/>
        <v>0.4774637128</v>
      </c>
      <c r="E108" s="190">
        <f t="shared" si="4"/>
        <v>38.1</v>
      </c>
      <c r="F108" s="122">
        <f t="shared" si="5"/>
        <v>12.1275783</v>
      </c>
      <c r="G108" s="123">
        <f>C108/Introduction!$I$20</f>
        <v>0.015625</v>
      </c>
      <c r="H108" s="192">
        <f t="shared" si="6"/>
        <v>0.004973580341</v>
      </c>
      <c r="I108" s="124">
        <f>E108/Introduction!$I$20</f>
        <v>0.396875</v>
      </c>
      <c r="J108" s="125">
        <f t="shared" si="7"/>
        <v>0.1263289407</v>
      </c>
      <c r="K108" s="51"/>
      <c r="L108" s="51"/>
      <c r="M108" s="51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286"/>
      <c r="AB108" s="158" t="s">
        <v>40</v>
      </c>
      <c r="AC108" s="287">
        <f>IF('Ship Data Imperial'!E109&gt;0,'Ship Data Imperial'!E109,AD108)</f>
        <v>0</v>
      </c>
      <c r="AD108" s="287">
        <f>'Ship Data Metric'!E109*0.03280839895</f>
        <v>0</v>
      </c>
      <c r="AE108" s="284">
        <f>IF(AC108&gt;0,Standing!$C$75*0.45,0)</f>
        <v>0</v>
      </c>
      <c r="AF108" s="280">
        <f>IF(AC108&gt;0,Standing!$C$75*0.25,0)</f>
        <v>0</v>
      </c>
      <c r="AG108" s="281">
        <f>IF(AC108&gt;0,Standing!$C$75*0.2,0)</f>
        <v>0</v>
      </c>
      <c r="AH108" s="282">
        <f>IF(AC108&gt;0,Standing!$C$75*0.5,0)</f>
        <v>0</v>
      </c>
      <c r="AI108" s="283">
        <f>IF(AC108&gt;0,Standing!$C$75*0.2,0)</f>
        <v>0</v>
      </c>
      <c r="AJ108" s="284">
        <f>IF(AC108&gt;0,Standing!$C$75*0.25,0)</f>
        <v>0</v>
      </c>
      <c r="AK108" s="281">
        <f>IF(AC108&gt;0,Standing!$C$81*0.8,0)</f>
        <v>0</v>
      </c>
      <c r="AL108" s="282">
        <f t="shared" si="8"/>
        <v>0</v>
      </c>
      <c r="AM108" s="283">
        <f>IF(AC108&gt;0,Standing!$C$81*0.45,0)</f>
        <v>0</v>
      </c>
      <c r="AN108" s="284">
        <f>IF(AC108&gt;0,Standing!$C$81*0.55,0)</f>
        <v>0</v>
      </c>
      <c r="AO108" s="280">
        <f>IF(AC108&gt;0,Standing!$C$81*0.36,0)</f>
        <v>0</v>
      </c>
      <c r="AP108" s="281">
        <f>IF(AC108&gt;0,Standing!$C$81*0.9,0)</f>
        <v>0</v>
      </c>
      <c r="AQ108" s="282">
        <f>IF(AC108&gt;0,Standing!$C$85*0.9,0)</f>
        <v>0</v>
      </c>
      <c r="AR108" s="283">
        <f>IF(AC108&gt;0,Standing!$C$85*0.5,0)</f>
        <v>0</v>
      </c>
      <c r="AS108" s="284">
        <f>IF(AC108&gt;0,Standing!$C$85*0.55,0)</f>
        <v>0</v>
      </c>
      <c r="AT108" s="280">
        <f>IF(AC108&gt;0,Standing!$C$85*0.66,0)</f>
        <v>0</v>
      </c>
      <c r="AU108" s="281">
        <f>IF(AC108&gt;0,Standing!$C$75*0.2,0)</f>
        <v>0</v>
      </c>
      <c r="AV108" s="282">
        <f>IF(AC108&gt;0,Standing!$C$75*0.2,0)</f>
        <v>0</v>
      </c>
      <c r="AW108" s="283">
        <f>IF(AC108&gt;0,Standing!$C$26*0.33,0)</f>
        <v>0</v>
      </c>
      <c r="AX108" s="284">
        <f>IF(AC108&gt;0,Standing!$C$26*0.2,0)</f>
        <v>0</v>
      </c>
      <c r="AY108" s="280">
        <f>IF(AC108&gt;0,Standing!$C$26*0.25,0)</f>
        <v>0</v>
      </c>
      <c r="AZ108" s="281">
        <f>IF(AC108&gt;0,Standing!$C$26*0.33,0)</f>
        <v>0</v>
      </c>
      <c r="BA108" s="282">
        <f>IF(AC108&gt;0,Standing!$C$26*0.15,0)</f>
        <v>0</v>
      </c>
      <c r="BB108" s="283">
        <f>IF(AC108&gt;0,Standing!$C$26*0.125,0)</f>
        <v>0</v>
      </c>
      <c r="BC108" s="284">
        <f>IF(AC108&gt;0,Standing!$C$32*0.33,0)</f>
        <v>0</v>
      </c>
      <c r="BD108" s="280">
        <f>IF(AC108&gt;0,Standing!$C$32*0.5,0)</f>
        <v>0</v>
      </c>
      <c r="BE108" s="281">
        <f>IF(AC108&gt;0,Standing!$C$32*0.33,0)</f>
        <v>0</v>
      </c>
      <c r="BF108" s="282">
        <f>IF(AC108&gt;0,Standing!$C$32*0.33,0)</f>
        <v>0</v>
      </c>
      <c r="BG108" s="283">
        <f>IF(AC108&gt;0,Standing!$C$32*0.25,0)</f>
        <v>0</v>
      </c>
      <c r="BH108" s="284">
        <f>IF(AC108&gt;0,Standing!$C$32*0.4,0)</f>
        <v>0</v>
      </c>
      <c r="BI108" s="280">
        <f>IF(AC108&gt;0,Standing!$C$26*0.5,0)</f>
        <v>0</v>
      </c>
      <c r="BJ108" s="281">
        <f>IF(AC108&gt;0,Standing!$C$26*0.45,0)</f>
        <v>0</v>
      </c>
      <c r="BK108" s="282">
        <f>IF(AC108&gt;0,Standing!$C$26*0.5,0)</f>
        <v>0</v>
      </c>
      <c r="BL108" s="283">
        <f>IF(AC108&gt;0,Standing!$C$32*0.66,0)</f>
        <v>0</v>
      </c>
      <c r="BM108" s="281">
        <f>IF(AC108&gt;0,Standing!$C$32*0.85,0)</f>
        <v>0</v>
      </c>
      <c r="BN108" s="284">
        <f t="shared" si="9"/>
        <v>0</v>
      </c>
      <c r="BO108" s="282">
        <f>IF(AC108&gt;0,Standing!$C$32*0.5,0)</f>
        <v>0</v>
      </c>
      <c r="BP108" s="280">
        <f>IF(AC108&gt;0,Standing!$C$32*0.45,0)</f>
        <v>0</v>
      </c>
      <c r="BQ108" s="281">
        <f>IF(AC108&gt;0,Standing!$C$32*0.66,0)</f>
        <v>0</v>
      </c>
      <c r="BR108" s="282">
        <f>IF(AC108&gt;0,Standing!$C$32*0.33,0)</f>
        <v>0</v>
      </c>
      <c r="BS108" s="283">
        <f>IF(AC108&gt;0,Standing!$C$32*0.33,0)</f>
        <v>0</v>
      </c>
      <c r="BT108" s="284">
        <f>IF(AC108&gt;0,Standing!$C$32*0.45,0)</f>
        <v>0</v>
      </c>
      <c r="BU108" s="280">
        <f>IF(AC108&gt;0,Standing!$C$36*0.9,0)</f>
        <v>0</v>
      </c>
      <c r="BV108" s="281">
        <f>IF(AC108&gt;0,Standing!$C$36*0.45,0)</f>
        <v>0</v>
      </c>
      <c r="BW108" s="282">
        <f>IF(AC108&gt;0,Standing!$C$126*0.66,0)</f>
        <v>0</v>
      </c>
      <c r="BX108" s="283">
        <f>IF(AC108&gt;0,Standing!$C$126*0.66,0)</f>
        <v>0</v>
      </c>
      <c r="BY108" s="284">
        <f>IF(AC108&gt;0,Standing!$C$126*0.4,0)</f>
        <v>0</v>
      </c>
      <c r="BZ108" s="280">
        <f>IF(AC108&gt;0,Standing!$C$126*0.33,0)</f>
        <v>0</v>
      </c>
      <c r="CA108" s="281">
        <f>IF(AC108&gt;0,Standing!$C$132*0.8,0)</f>
        <v>0</v>
      </c>
      <c r="CB108" s="282">
        <f>IF(AC108&gt;0,Standing!$C$132*0.66,0)</f>
        <v>0</v>
      </c>
      <c r="CC108" s="283">
        <f>IF(AC108&gt;0,Standing!$C$132*0.5,0)</f>
        <v>0</v>
      </c>
      <c r="CD108" s="284">
        <f>IF(AC108&gt;0,Standing!$C$132*0.5,0)</f>
        <v>0</v>
      </c>
      <c r="CE108" s="280">
        <f>IF(AC108&gt;0,Standing!$C$132*0.4,0)</f>
        <v>0</v>
      </c>
      <c r="CF108" s="281">
        <f>IF(AC108&gt;0,Standing!$C$132*0.66,0)</f>
        <v>0</v>
      </c>
      <c r="CG108" s="282">
        <f>IF(AC108&gt;0,Standing!$C$132*0.5,0)</f>
        <v>0</v>
      </c>
      <c r="CH108" s="283">
        <f>IF(AC108&gt;0,Standing!$C$132*0.5,0)</f>
        <v>0</v>
      </c>
      <c r="CI108" s="284">
        <f>IF(AC108&gt;0,Standing!$C$132*0.5,0)</f>
        <v>0</v>
      </c>
      <c r="CJ108" s="280">
        <f>IF(AC108&gt;0,Standing!$C$132*0.5,0)</f>
        <v>0</v>
      </c>
      <c r="CK108" s="281">
        <f>IF(AC108&gt;0,Standing!$C$126*0.55,0)</f>
        <v>0</v>
      </c>
      <c r="CL108" s="282">
        <f>IF(AC108&gt;0,Standing!$C$126*0.75,0)</f>
        <v>0</v>
      </c>
      <c r="CM108" s="283">
        <f>IF(AC108&gt;0,Standing!$C$126*0.7,0)</f>
        <v>0</v>
      </c>
      <c r="CN108" s="284">
        <f>IF(AC108&gt;0,Standing!$C$126*0.33,0)</f>
        <v>0</v>
      </c>
      <c r="CO108" s="280">
        <f>IF(AC108&gt;0,Standing!$C$126*0.4,0)</f>
        <v>0</v>
      </c>
      <c r="CP108" s="281">
        <f>IF(AC108&gt;0,Standing!$C$26*0.25,0)</f>
        <v>0</v>
      </c>
      <c r="CQ108" s="282">
        <f>IF(AC108&gt;0,Standing!$C$26*0.2,0)</f>
        <v>0</v>
      </c>
      <c r="CR108" s="283">
        <f>IF(AC108&gt;0,Standing!$C$26*0.25,0)</f>
        <v>0</v>
      </c>
      <c r="CS108" s="285">
        <f>IF(AC108&gt;0,Standing!$C$26*0.2,0)</f>
        <v>0</v>
      </c>
      <c r="CT108" s="286"/>
      <c r="CU108" s="158" t="s">
        <v>40</v>
      </c>
    </row>
    <row r="109" ht="15.75" customHeight="1">
      <c r="A109" s="51"/>
      <c r="B109" s="296" t="s">
        <v>564</v>
      </c>
      <c r="C109" s="189">
        <f>IF(Standing!$C$36*0.33&gt;1,Standing!$C$36*0.33,1)</f>
        <v>1</v>
      </c>
      <c r="D109" s="218">
        <f t="shared" si="3"/>
        <v>0.3183091418</v>
      </c>
      <c r="E109" s="190">
        <f t="shared" si="4"/>
        <v>25.4</v>
      </c>
      <c r="F109" s="122">
        <f t="shared" si="5"/>
        <v>8.085052203</v>
      </c>
      <c r="G109" s="123">
        <f>C109/Introduction!$I$20</f>
        <v>0.01041666667</v>
      </c>
      <c r="H109" s="192">
        <f t="shared" si="6"/>
        <v>0.003315720227</v>
      </c>
      <c r="I109" s="124">
        <f>E109/Introduction!$I$20</f>
        <v>0.2645833333</v>
      </c>
      <c r="J109" s="125">
        <f t="shared" si="7"/>
        <v>0.08421929378</v>
      </c>
      <c r="K109" s="51"/>
      <c r="L109" s="51"/>
      <c r="M109" s="51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286"/>
      <c r="AB109" s="158" t="s">
        <v>41</v>
      </c>
      <c r="AC109" s="287">
        <f>IF('Ship Data Imperial'!E110&gt;0,'Ship Data Imperial'!E110,AD109)</f>
        <v>0</v>
      </c>
      <c r="AD109" s="287">
        <f>'Ship Data Metric'!E110*0.03280839895</f>
        <v>0</v>
      </c>
      <c r="AE109" s="284">
        <f>IF(AC109&gt;0,Standing!$C$75*0.45,0)</f>
        <v>0</v>
      </c>
      <c r="AF109" s="280">
        <f>IF(AC109&gt;0,Standing!$C$75*0.25,0)</f>
        <v>0</v>
      </c>
      <c r="AG109" s="281">
        <f>IF(AC109&gt;0,Standing!$C$75*0.2,0)</f>
        <v>0</v>
      </c>
      <c r="AH109" s="282">
        <f>IF(AC109&gt;0,Standing!$C$75*0.5,0)</f>
        <v>0</v>
      </c>
      <c r="AI109" s="283">
        <f>IF(AC109&gt;0,Standing!$C$75*0.2,0)</f>
        <v>0</v>
      </c>
      <c r="AJ109" s="284">
        <f>IF(AC109&gt;0,Standing!$C$75*0.25,0)</f>
        <v>0</v>
      </c>
      <c r="AK109" s="281">
        <f>IF(AC109&gt;0,Standing!$C$81*0.8,0)</f>
        <v>0</v>
      </c>
      <c r="AL109" s="282">
        <f t="shared" si="8"/>
        <v>0</v>
      </c>
      <c r="AM109" s="283">
        <f>IF(AC109&gt;0,Standing!$C$81*0.45,0)</f>
        <v>0</v>
      </c>
      <c r="AN109" s="284">
        <f>IF(AC109&gt;0,Standing!$C$81*0.55,0)</f>
        <v>0</v>
      </c>
      <c r="AO109" s="280">
        <f>IF(AC109&gt;0,Standing!$C$81*0.36,0)</f>
        <v>0</v>
      </c>
      <c r="AP109" s="281">
        <f>IF(AC109&gt;0,Standing!$C$81*0.9,0)</f>
        <v>0</v>
      </c>
      <c r="AQ109" s="282">
        <f>IF(AC109&gt;0,Standing!$C$85*0.9,0)</f>
        <v>0</v>
      </c>
      <c r="AR109" s="283">
        <f>IF(AC109&gt;0,Standing!$C$85*0.5,0)</f>
        <v>0</v>
      </c>
      <c r="AS109" s="284">
        <f>IF(AC109&gt;0,Standing!$C$85*0.55,0)</f>
        <v>0</v>
      </c>
      <c r="AT109" s="280">
        <f>IF(AC109&gt;0,Standing!$C$85*0.66,0)</f>
        <v>0</v>
      </c>
      <c r="AU109" s="281">
        <f>IF(AC109&gt;0,Standing!$C$75*0.2,0)</f>
        <v>0</v>
      </c>
      <c r="AV109" s="282">
        <f>IF(AC109&gt;0,Standing!$C$75*0.2,0)</f>
        <v>0</v>
      </c>
      <c r="AW109" s="283">
        <f>IF(AC109&gt;0,Standing!$C$26*0.33,0)</f>
        <v>0</v>
      </c>
      <c r="AX109" s="284">
        <f>IF(AC109&gt;0,Standing!$C$26*0.2,0)</f>
        <v>0</v>
      </c>
      <c r="AY109" s="280">
        <f>IF(AC109&gt;0,Standing!$C$26*0.25,0)</f>
        <v>0</v>
      </c>
      <c r="AZ109" s="281">
        <f>IF(AC109&gt;0,Standing!$C$26*0.33,0)</f>
        <v>0</v>
      </c>
      <c r="BA109" s="282">
        <f>IF(AC109&gt;0,Standing!$C$26*0.15,0)</f>
        <v>0</v>
      </c>
      <c r="BB109" s="283">
        <f>IF(AC109&gt;0,Standing!$C$26*0.125,0)</f>
        <v>0</v>
      </c>
      <c r="BC109" s="284">
        <f>IF(AC109&gt;0,Standing!$C$32*0.33,0)</f>
        <v>0</v>
      </c>
      <c r="BD109" s="280">
        <f>IF(AC109&gt;0,Standing!$C$32*0.5,0)</f>
        <v>0</v>
      </c>
      <c r="BE109" s="281">
        <f>IF(AC109&gt;0,Standing!$C$32*0.33,0)</f>
        <v>0</v>
      </c>
      <c r="BF109" s="282">
        <f>IF(AC109&gt;0,Standing!$C$32*0.33,0)</f>
        <v>0</v>
      </c>
      <c r="BG109" s="283">
        <f>IF(AC109&gt;0,Standing!$C$32*0.25,0)</f>
        <v>0</v>
      </c>
      <c r="BH109" s="284">
        <f>IF(AC109&gt;0,Standing!$C$32*0.4,0)</f>
        <v>0</v>
      </c>
      <c r="BI109" s="280">
        <f>IF(AC109&gt;0,Standing!$C$26*0.5,0)</f>
        <v>0</v>
      </c>
      <c r="BJ109" s="281">
        <f>IF(AC109&gt;0,Standing!$C$26*0.45,0)</f>
        <v>0</v>
      </c>
      <c r="BK109" s="282">
        <f>IF(AC109&gt;0,Standing!$C$26*0.5,0)</f>
        <v>0</v>
      </c>
      <c r="BL109" s="283">
        <f>IF(AC109&gt;0,Standing!$C$32*0.66,0)</f>
        <v>0</v>
      </c>
      <c r="BM109" s="281">
        <f>IF(AC109&gt;0,Standing!$C$32*0.85,0)</f>
        <v>0</v>
      </c>
      <c r="BN109" s="284">
        <f t="shared" si="9"/>
        <v>0</v>
      </c>
      <c r="BO109" s="282">
        <f>IF(AC109&gt;0,Standing!$C$32*0.5,0)</f>
        <v>0</v>
      </c>
      <c r="BP109" s="280">
        <f>IF(AC109&gt;0,Standing!$C$32*0.45,0)</f>
        <v>0</v>
      </c>
      <c r="BQ109" s="281">
        <f>IF(AC109&gt;0,Standing!$C$32*0.66,0)</f>
        <v>0</v>
      </c>
      <c r="BR109" s="282">
        <f>IF(AC109&gt;0,Standing!$C$32*0.33,0)</f>
        <v>0</v>
      </c>
      <c r="BS109" s="283">
        <f>IF(AC109&gt;0,Standing!$C$32*0.33,0)</f>
        <v>0</v>
      </c>
      <c r="BT109" s="284">
        <f>IF(AC109&gt;0,Standing!$C$32*0.45,0)</f>
        <v>0</v>
      </c>
      <c r="BU109" s="280">
        <f>IF(AC109&gt;0,Standing!$C$36*0.9,0)</f>
        <v>0</v>
      </c>
      <c r="BV109" s="281">
        <f>IF(AC109&gt;0,Standing!$C$36*0.45,0)</f>
        <v>0</v>
      </c>
      <c r="BW109" s="282">
        <f>IF(AC109&gt;0,Standing!$C$126*0.66,0)</f>
        <v>0</v>
      </c>
      <c r="BX109" s="283">
        <f>IF(AC109&gt;0,Standing!$C$126*0.66,0)</f>
        <v>0</v>
      </c>
      <c r="BY109" s="284">
        <f>IF(AC109&gt;0,Standing!$C$126*0.4,0)</f>
        <v>0</v>
      </c>
      <c r="BZ109" s="280">
        <f>IF(AC109&gt;0,Standing!$C$126*0.33,0)</f>
        <v>0</v>
      </c>
      <c r="CA109" s="281">
        <f>IF(AC109&gt;0,Standing!$C$132*0.8,0)</f>
        <v>0</v>
      </c>
      <c r="CB109" s="282">
        <f>IF(AC109&gt;0,Standing!$C$132*0.66,0)</f>
        <v>0</v>
      </c>
      <c r="CC109" s="283">
        <f>IF(AC109&gt;0,Standing!$C$132*0.5,0)</f>
        <v>0</v>
      </c>
      <c r="CD109" s="284">
        <f>IF(AC109&gt;0,Standing!$C$132*0.5,0)</f>
        <v>0</v>
      </c>
      <c r="CE109" s="280">
        <f>IF(AC109&gt;0,Standing!$C$132*0.4,0)</f>
        <v>0</v>
      </c>
      <c r="CF109" s="281">
        <f>IF(AC109&gt;0,Standing!$C$132*0.66,0)</f>
        <v>0</v>
      </c>
      <c r="CG109" s="282">
        <f>IF(AC109&gt;0,Standing!$C$132*0.5,0)</f>
        <v>0</v>
      </c>
      <c r="CH109" s="283">
        <f>IF(AC109&gt;0,Standing!$C$132*0.5,0)</f>
        <v>0</v>
      </c>
      <c r="CI109" s="284">
        <f>IF(AC109&gt;0,Standing!$C$132*0.5,0)</f>
        <v>0</v>
      </c>
      <c r="CJ109" s="280">
        <f>IF(AC109&gt;0,Standing!$C$132*0.5,0)</f>
        <v>0</v>
      </c>
      <c r="CK109" s="281">
        <f>IF(AC109&gt;0,Standing!$C$126*0.55,0)</f>
        <v>0</v>
      </c>
      <c r="CL109" s="282">
        <f>IF(AC109&gt;0,Standing!$C$126*0.75,0)</f>
        <v>0</v>
      </c>
      <c r="CM109" s="283">
        <f>IF(AC109&gt;0,Standing!$C$126*0.7,0)</f>
        <v>0</v>
      </c>
      <c r="CN109" s="284">
        <f>IF(AC109&gt;0,Standing!$C$126*0.33,0)</f>
        <v>0</v>
      </c>
      <c r="CO109" s="280">
        <f>IF(AC109&gt;0,Standing!$C$126*0.4,0)</f>
        <v>0</v>
      </c>
      <c r="CP109" s="281">
        <f>IF(AC109&gt;0,Standing!$C$26*0.25,0)</f>
        <v>0</v>
      </c>
      <c r="CQ109" s="282">
        <f>IF(AC109&gt;0,Standing!$C$26*0.2,0)</f>
        <v>0</v>
      </c>
      <c r="CR109" s="283">
        <f>IF(AC109&gt;0,Standing!$C$26*0.25,0)</f>
        <v>0</v>
      </c>
      <c r="CS109" s="285">
        <f>IF(AC109&gt;0,Standing!$C$26*0.2,0)</f>
        <v>0</v>
      </c>
      <c r="CT109" s="286"/>
      <c r="CU109" s="158" t="s">
        <v>41</v>
      </c>
    </row>
    <row r="110" ht="15.75" customHeight="1">
      <c r="A110" s="51"/>
      <c r="B110" s="296" t="s">
        <v>565</v>
      </c>
      <c r="C110" s="189">
        <f>Standing!$C$36*0.5</f>
        <v>1</v>
      </c>
      <c r="D110" s="218">
        <f t="shared" si="3"/>
        <v>0.3183091418</v>
      </c>
      <c r="E110" s="190">
        <f t="shared" si="4"/>
        <v>25.4</v>
      </c>
      <c r="F110" s="122">
        <f t="shared" si="5"/>
        <v>8.085052203</v>
      </c>
      <c r="G110" s="123">
        <f>C110/Introduction!$I$20</f>
        <v>0.01041666667</v>
      </c>
      <c r="H110" s="192">
        <f t="shared" si="6"/>
        <v>0.003315720227</v>
      </c>
      <c r="I110" s="124">
        <f>E110/Introduction!$I$20</f>
        <v>0.2645833333</v>
      </c>
      <c r="J110" s="125">
        <f t="shared" si="7"/>
        <v>0.08421929378</v>
      </c>
      <c r="K110" s="51"/>
      <c r="L110" s="51"/>
      <c r="M110" s="51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286"/>
      <c r="AB110" s="286" t="s">
        <v>27</v>
      </c>
      <c r="AC110" s="287">
        <f>IF('Ship Data Imperial'!E111&gt;0,'Ship Data Imperial'!E111,AD110)</f>
        <v>0</v>
      </c>
      <c r="AD110" s="287">
        <f>'Ship Data Metric'!E111*0.03280839895</f>
        <v>0</v>
      </c>
      <c r="AE110" s="284">
        <f>IF(AC110&gt;0,Standing!$C$75*0.45,0)</f>
        <v>0</v>
      </c>
      <c r="AF110" s="280">
        <f>IF(AC110&gt;0,Standing!$C$75*0.33,0)</f>
        <v>0</v>
      </c>
      <c r="AG110" s="281">
        <f>IF(AC110&gt;0,Standing!$C$75*0.2,0)</f>
        <v>0</v>
      </c>
      <c r="AH110" s="282">
        <f>IF(AC110&gt;0,Standing!$C$75*0.5,0)</f>
        <v>0</v>
      </c>
      <c r="AI110" s="283">
        <f>IF(AC110&gt;0,Standing!$C$75*0.2,0)</f>
        <v>0</v>
      </c>
      <c r="AJ110" s="284">
        <f>IF(AC110&gt;0,Standing!$C$75*0.25,0)</f>
        <v>0</v>
      </c>
      <c r="AK110" s="281">
        <f>IF(AC110&gt;0,Standing!$C$81*0.8,0)</f>
        <v>0</v>
      </c>
      <c r="AL110" s="282">
        <f t="shared" si="8"/>
        <v>0</v>
      </c>
      <c r="AM110" s="283">
        <f>IF(AC110&gt;0,Standing!$C$81*0.45,0)</f>
        <v>0</v>
      </c>
      <c r="AN110" s="284">
        <f>IF(AC110&gt;0,Standing!$C$81*0.55,0)</f>
        <v>0</v>
      </c>
      <c r="AO110" s="280">
        <f>IF(AC110&gt;0,Standing!$C$81*0.36,0)</f>
        <v>0</v>
      </c>
      <c r="AP110" s="281">
        <f>IF(AC110&gt;0,Standing!$C$81*0.9,0)</f>
        <v>0</v>
      </c>
      <c r="AQ110" s="282">
        <f>IF(AC110&gt;0,Standing!$C$85*0.9,0)</f>
        <v>0</v>
      </c>
      <c r="AR110" s="283">
        <f>IF(AC110&gt;0,Standing!$C$85*0.5,0)</f>
        <v>0</v>
      </c>
      <c r="AS110" s="284">
        <f>IF(AC110&gt;0,Standing!$C$85*0.55,0)</f>
        <v>0</v>
      </c>
      <c r="AT110" s="280">
        <f>IF(AC110&gt;0,Standing!$C$85*0.66,0)</f>
        <v>0</v>
      </c>
      <c r="AU110" s="281">
        <f>IF(AC110&gt;0,Standing!$C$75*0.25,0)</f>
        <v>0</v>
      </c>
      <c r="AV110" s="282">
        <f>IF(AC110&gt;0,Standing!$C$75*0.2,0)</f>
        <v>0</v>
      </c>
      <c r="AW110" s="283">
        <f>IF(AC110&gt;0,Standing!$C$26*0.33,0)</f>
        <v>0</v>
      </c>
      <c r="AX110" s="284">
        <f>IF(AC110&gt;0,Standing!$C$26*0.2,0)</f>
        <v>0</v>
      </c>
      <c r="AY110" s="280">
        <f>IF(AC110&gt;0,Standing!$C$26*0.25,0)</f>
        <v>0</v>
      </c>
      <c r="AZ110" s="281">
        <f>IF(AC110&gt;0,Standing!$C$26*0.33,0)</f>
        <v>0</v>
      </c>
      <c r="BA110" s="282">
        <f>IF(AC110&gt;0,Standing!$C$26*0.15,0)</f>
        <v>0</v>
      </c>
      <c r="BB110" s="283">
        <f>IF(AC110&gt;0,Standing!$C$26*0.125,0)</f>
        <v>0</v>
      </c>
      <c r="BC110" s="284">
        <f>IF(AC110&gt;0,Standing!$C$32*0.33,0)</f>
        <v>0</v>
      </c>
      <c r="BD110" s="280">
        <f>IF(AC110&gt;0,Standing!$C$32*0.5,0)</f>
        <v>0</v>
      </c>
      <c r="BE110" s="281">
        <f>IF(AC110&gt;0,Standing!$C$32*0.33,0)</f>
        <v>0</v>
      </c>
      <c r="BF110" s="282">
        <f>IF(AC110&gt;0,Standing!$C$32*0.33,0)</f>
        <v>0</v>
      </c>
      <c r="BG110" s="283">
        <f>IF(AC110&gt;0,Standing!$C$32*0.3,0)</f>
        <v>0</v>
      </c>
      <c r="BH110" s="284">
        <f>IF(AC110&gt;0,Standing!$C$32*0.4,0)</f>
        <v>0</v>
      </c>
      <c r="BI110" s="280">
        <f>IF(AC110&gt;0,Standing!$C$26*0.5,0)</f>
        <v>0</v>
      </c>
      <c r="BJ110" s="281">
        <f>IF(AC110&gt;0,Standing!$C$26*0.45,0)</f>
        <v>0</v>
      </c>
      <c r="BK110" s="282">
        <f>IF(AC110&gt;0,Standing!$C$26*0.5,0)</f>
        <v>0</v>
      </c>
      <c r="BL110" s="283">
        <f>IF(AC110&gt;0,Standing!$C$32*0.66,0)</f>
        <v>0</v>
      </c>
      <c r="BM110" s="281">
        <f>IF(AC110&gt;0,Standing!$C$32*0.85,0)</f>
        <v>0</v>
      </c>
      <c r="BN110" s="284">
        <f t="shared" si="9"/>
        <v>0</v>
      </c>
      <c r="BO110" s="282">
        <f>IF(AC110&gt;0,Standing!$C$32*0.45,0)</f>
        <v>0</v>
      </c>
      <c r="BP110" s="280">
        <f>IF(AC110&gt;0,Standing!$C$32*0.45,0)</f>
        <v>0</v>
      </c>
      <c r="BQ110" s="281">
        <f>IF(AC110&gt;0,Standing!$C$32*0.66,0)</f>
        <v>0</v>
      </c>
      <c r="BR110" s="282">
        <f>IF(AC110&gt;0,Standing!$C$32*0.33,0)</f>
        <v>0</v>
      </c>
      <c r="BS110" s="283">
        <f>IF(AC110&gt;0,Standing!$C$32*0.33,0)</f>
        <v>0</v>
      </c>
      <c r="BT110" s="284">
        <f>IF(AC110&gt;0,Standing!$C$32*0.45,0)</f>
        <v>0</v>
      </c>
      <c r="BU110" s="280">
        <f>IF(AC110&gt;0,Standing!$C$36*0.9,0)</f>
        <v>0</v>
      </c>
      <c r="BV110" s="281">
        <f>IF(AC110&gt;0,Standing!$C$36*0.45,0)</f>
        <v>0</v>
      </c>
      <c r="BW110" s="282">
        <f>IF(AC110&gt;0,Standing!$C$126*0.66,0)</f>
        <v>0</v>
      </c>
      <c r="BX110" s="283">
        <f>IF(AC110&gt;0,Standing!$C$126*0.66,0)</f>
        <v>0</v>
      </c>
      <c r="BY110" s="284">
        <f>IF(AC110&gt;0,Standing!$C$126*0.4,0)</f>
        <v>0</v>
      </c>
      <c r="BZ110" s="280">
        <f>IF(AC110&gt;0,Standing!$C$126*0.33,0)</f>
        <v>0</v>
      </c>
      <c r="CA110" s="281">
        <f>IF(AC110&gt;0,Standing!$C$132,0)</f>
        <v>0</v>
      </c>
      <c r="CB110" s="282">
        <f>IF(AC110&gt;0,Standing!$C$132*0.66,0)</f>
        <v>0</v>
      </c>
      <c r="CC110" s="283">
        <f>IF(AC110&gt;0,Standing!$C$132*0.5,0)</f>
        <v>0</v>
      </c>
      <c r="CD110" s="284">
        <f>IF(AC110&gt;0,Standing!$C$132*0.5,0)</f>
        <v>0</v>
      </c>
      <c r="CE110" s="280">
        <f>IF(AC110&gt;0,Standing!$C$132*0.5,0)</f>
        <v>0</v>
      </c>
      <c r="CF110" s="281">
        <f>IF(AC110&gt;0,Standing!$C$132*0.66,0)</f>
        <v>0</v>
      </c>
      <c r="CG110" s="282">
        <f>IF(AC110&gt;0,Standing!$C$132*0.5,0)</f>
        <v>0</v>
      </c>
      <c r="CH110" s="283">
        <f>IF(AC110&gt;0,Standing!$C$132*0.5,0)</f>
        <v>0</v>
      </c>
      <c r="CI110" s="284">
        <f>IF(AC110&gt;0,Standing!$C$132*0.5,0)</f>
        <v>0</v>
      </c>
      <c r="CJ110" s="280">
        <f>IF(AC110&gt;0,Standing!$C$132*0.5,0)</f>
        <v>0</v>
      </c>
      <c r="CK110" s="281">
        <f>IF(AC110&gt;0,Standing!$C$126*0.55,0)</f>
        <v>0</v>
      </c>
      <c r="CL110" s="282">
        <f>IF(AC110&gt;0,Standing!$C$126*0.75,0)</f>
        <v>0</v>
      </c>
      <c r="CM110" s="283">
        <f>IF(AC110&gt;0,Standing!$C$126*0.7,0)</f>
        <v>0</v>
      </c>
      <c r="CN110" s="284">
        <f>IF(AC110&gt;0,Standing!$C$126*0.33,0)</f>
        <v>0</v>
      </c>
      <c r="CO110" s="280">
        <f>IF(AC110&gt;0,Standing!$C$126*0.4,0)</f>
        <v>0</v>
      </c>
      <c r="CP110" s="281">
        <f>IF(AC110&gt;0,Standing!$C$26*0.33,0)</f>
        <v>0</v>
      </c>
      <c r="CQ110" s="282">
        <f>IF(AC110&gt;0,Standing!$C$26*0.2,0)</f>
        <v>0</v>
      </c>
      <c r="CR110" s="283">
        <f>IF(AC110&gt;0,Standing!$C$26*0.25,0)</f>
        <v>0</v>
      </c>
      <c r="CS110" s="285">
        <f>IF(AC110&gt;0,Standing!$C$26*0.2,0)</f>
        <v>0</v>
      </c>
      <c r="CT110" s="286"/>
      <c r="CU110" s="286" t="s">
        <v>27</v>
      </c>
    </row>
    <row r="111" ht="15.75" customHeight="1">
      <c r="A111" s="51"/>
      <c r="B111" s="296" t="s">
        <v>566</v>
      </c>
      <c r="C111" s="189">
        <f>Standing!$C$36*0.5</f>
        <v>1</v>
      </c>
      <c r="D111" s="218">
        <f t="shared" si="3"/>
        <v>0.3183091418</v>
      </c>
      <c r="E111" s="190">
        <f t="shared" si="4"/>
        <v>25.4</v>
      </c>
      <c r="F111" s="122">
        <f t="shared" si="5"/>
        <v>8.085052203</v>
      </c>
      <c r="G111" s="123">
        <f>C111/Introduction!$I$20</f>
        <v>0.01041666667</v>
      </c>
      <c r="H111" s="192">
        <f t="shared" si="6"/>
        <v>0.003315720227</v>
      </c>
      <c r="I111" s="124">
        <f>E111/Introduction!$I$20</f>
        <v>0.2645833333</v>
      </c>
      <c r="J111" s="125">
        <f t="shared" si="7"/>
        <v>0.08421929378</v>
      </c>
      <c r="K111" s="51"/>
      <c r="L111" s="51"/>
      <c r="M111" s="51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286"/>
      <c r="AB111" s="286" t="s">
        <v>28</v>
      </c>
      <c r="AC111" s="287">
        <f>IF('Ship Data Imperial'!E112&gt;0,'Ship Data Imperial'!E112,AD111)</f>
        <v>0</v>
      </c>
      <c r="AD111" s="287">
        <f>'Ship Data Metric'!E112*0.03280839895</f>
        <v>0</v>
      </c>
      <c r="AE111" s="284">
        <f>IF(AC111&gt;0,Standing!$C$75*0.65,0)</f>
        <v>0</v>
      </c>
      <c r="AF111" s="280">
        <f>IF(AC111&gt;0,Standing!$C$75*0.33,0)</f>
        <v>0</v>
      </c>
      <c r="AG111" s="281">
        <f>IF(AC111&gt;0,Standing!$C$75*0.2,0)</f>
        <v>0</v>
      </c>
      <c r="AH111" s="282">
        <f>IF(AC111&gt;0,Standing!$C$75*0.5,0)</f>
        <v>0</v>
      </c>
      <c r="AI111" s="283">
        <f>IF(AC111&gt;0,Standing!$C$75*0.2,0)</f>
        <v>0</v>
      </c>
      <c r="AJ111" s="284">
        <f>IF(AC111&gt;0,Standing!$C$75*0.25,0)</f>
        <v>0</v>
      </c>
      <c r="AK111" s="281">
        <f>IF(AC111&gt;0,Standing!$C$81*0.8,0)</f>
        <v>0</v>
      </c>
      <c r="AL111" s="282">
        <f t="shared" si="8"/>
        <v>0</v>
      </c>
      <c r="AM111" s="283">
        <f>IF(AC111&gt;0,Standing!$C$81*0.45,0)</f>
        <v>0</v>
      </c>
      <c r="AN111" s="284">
        <f>IF(AC111&gt;0,Standing!$C$81*0.55,0)</f>
        <v>0</v>
      </c>
      <c r="AO111" s="280">
        <f>IF(AC111&gt;0,Standing!$C$81*0.36,0)</f>
        <v>0</v>
      </c>
      <c r="AP111" s="281">
        <f>IF(AC111&gt;0,Standing!$C$81*0.9,0)</f>
        <v>0</v>
      </c>
      <c r="AQ111" s="282">
        <f>IF(AC111&gt;0,Standing!$C$85*0.9,0)</f>
        <v>0</v>
      </c>
      <c r="AR111" s="283">
        <f>IF(AC111&gt;0,Standing!$C$85*0.5,0)</f>
        <v>0</v>
      </c>
      <c r="AS111" s="284">
        <f>IF(AC111&gt;0,Standing!$C$85*0.55,0)</f>
        <v>0</v>
      </c>
      <c r="AT111" s="280">
        <f>IF(AC111&gt;0,Standing!$C$85*0.66,0)</f>
        <v>0</v>
      </c>
      <c r="AU111" s="281">
        <f>IF(AC111&gt;0,Standing!$C$75*0.25,0)</f>
        <v>0</v>
      </c>
      <c r="AV111" s="282">
        <f>IF(AC111&gt;0,Standing!$C$75*0.2,0)</f>
        <v>0</v>
      </c>
      <c r="AW111" s="283">
        <f>IF(AC111&gt;0,Standing!$C$26*0.33,0)</f>
        <v>0</v>
      </c>
      <c r="AX111" s="284">
        <f>IF(AC111&gt;0,Standing!$C$26*0.2,0)</f>
        <v>0</v>
      </c>
      <c r="AY111" s="280">
        <f>IF(AC111&gt;0,Standing!$C$26*0.25,0)</f>
        <v>0</v>
      </c>
      <c r="AZ111" s="281">
        <f>IF(AC111&gt;0,Standing!$C$26*0.33,0)</f>
        <v>0</v>
      </c>
      <c r="BA111" s="282">
        <f>IF(AC111&gt;0,Standing!$C$26*0.15,0)</f>
        <v>0</v>
      </c>
      <c r="BB111" s="283">
        <f>IF(AC111&gt;0,Standing!$C$26*0.125,0)</f>
        <v>0</v>
      </c>
      <c r="BC111" s="284">
        <f>IF(AC111&gt;0,Standing!$C$32*0.33,0)</f>
        <v>0</v>
      </c>
      <c r="BD111" s="280">
        <f>IF(AC111&gt;0,Standing!$C$32*0.5,0)</f>
        <v>0</v>
      </c>
      <c r="BE111" s="281">
        <f>IF(AC111&gt;0,Standing!$C$32*0.33,0)</f>
        <v>0</v>
      </c>
      <c r="BF111" s="282">
        <f>IF(AC111&gt;0,Standing!$C$32*0.33,0)</f>
        <v>0</v>
      </c>
      <c r="BG111" s="283">
        <f>IF(AC111&gt;0,Standing!$C$32*0.3,0)</f>
        <v>0</v>
      </c>
      <c r="BH111" s="284">
        <f>IF(AC111&gt;0,Standing!$C$32*0.4,0)</f>
        <v>0</v>
      </c>
      <c r="BI111" s="280">
        <f>IF(AC111&gt;0,Standing!$C$26*0.5,0)</f>
        <v>0</v>
      </c>
      <c r="BJ111" s="281">
        <f>IF(AC111&gt;0,Standing!$C$26*0.65,0)</f>
        <v>0</v>
      </c>
      <c r="BK111" s="282">
        <f>IF(AC111&gt;0,Standing!$C$26*0.5,0)</f>
        <v>0</v>
      </c>
      <c r="BL111" s="283">
        <f>IF(AC111&gt;0,Standing!$C$32*0.66,0)</f>
        <v>0</v>
      </c>
      <c r="BM111" s="281">
        <f>IF(AC111&gt;0,Standing!$C$32*0.85,0)</f>
        <v>0</v>
      </c>
      <c r="BN111" s="284">
        <f t="shared" si="9"/>
        <v>0</v>
      </c>
      <c r="BO111" s="282">
        <f>IF(AC111&gt;0,Standing!$C$32*0.45,0)</f>
        <v>0</v>
      </c>
      <c r="BP111" s="280">
        <f>IF(AC111&gt;0,Standing!$C$32*0.45,0)</f>
        <v>0</v>
      </c>
      <c r="BQ111" s="281">
        <f>IF(AC111&gt;0,Standing!$C$32*0.66,0)</f>
        <v>0</v>
      </c>
      <c r="BR111" s="282">
        <f>IF(AC111&gt;0,Standing!$C$32*0.33,0)</f>
        <v>0</v>
      </c>
      <c r="BS111" s="283">
        <f>IF(AC111&gt;0,Standing!$C$32*0.33,0)</f>
        <v>0</v>
      </c>
      <c r="BT111" s="284">
        <f>IF(AC111&gt;0,Standing!$C$32*0.45,0)</f>
        <v>0</v>
      </c>
      <c r="BU111" s="280">
        <f>IF(AC111&gt;0,Standing!$C$36*0.9,0)</f>
        <v>0</v>
      </c>
      <c r="BV111" s="281">
        <f>IF(AC111&gt;0,Standing!$C$36*0.45,0)</f>
        <v>0</v>
      </c>
      <c r="BW111" s="282">
        <f>IF(AC111&gt;0,Standing!$C$126*0.66,0)</f>
        <v>0</v>
      </c>
      <c r="BX111" s="283">
        <f>IF(AC111&gt;0,Standing!$C$126*0.66,0)</f>
        <v>0</v>
      </c>
      <c r="BY111" s="284">
        <f>IF(AC111&gt;0,Standing!$C$126*0.4,0)</f>
        <v>0</v>
      </c>
      <c r="BZ111" s="280">
        <f>IF(AC111&gt;0,Standing!$C$126*0.33,0)</f>
        <v>0</v>
      </c>
      <c r="CA111" s="281">
        <f>IF(AC111&gt;0,Standing!$C$132,0)</f>
        <v>0</v>
      </c>
      <c r="CB111" s="282">
        <f>IF(AC111&gt;0,Standing!$C$132*0.66,0)</f>
        <v>0</v>
      </c>
      <c r="CC111" s="283">
        <f>IF(AC111&gt;0,Standing!$C$132*0.5,0)</f>
        <v>0</v>
      </c>
      <c r="CD111" s="284">
        <f>IF(AC111&gt;0,Standing!$C$132*0.5,0)</f>
        <v>0</v>
      </c>
      <c r="CE111" s="280">
        <f>IF(AC111&gt;0,Standing!$C$132*0.5,0)</f>
        <v>0</v>
      </c>
      <c r="CF111" s="281">
        <f>IF(AC111&gt;0,Standing!$C$132*0.66,0)</f>
        <v>0</v>
      </c>
      <c r="CG111" s="282">
        <f>IF(AC111&gt;0,Standing!$C$132*0.5,0)</f>
        <v>0</v>
      </c>
      <c r="CH111" s="283">
        <f>IF(AC111&gt;0,Standing!$C$132*0.5,0)</f>
        <v>0</v>
      </c>
      <c r="CI111" s="284">
        <f>IF(AC111&gt;0,Standing!$C$132*0.5,0)</f>
        <v>0</v>
      </c>
      <c r="CJ111" s="280">
        <f>IF(AC111&gt;0,Standing!$C$132*0.5,0)</f>
        <v>0</v>
      </c>
      <c r="CK111" s="281">
        <f>IF(AC111&gt;0,Standing!$C$126*0.55,0)</f>
        <v>0</v>
      </c>
      <c r="CL111" s="282">
        <f>IF(AC111&gt;0,Standing!$C$126*0.75,0)</f>
        <v>0</v>
      </c>
      <c r="CM111" s="283">
        <f>IF(AC111&gt;0,Standing!$C$126*0.7,0)</f>
        <v>0</v>
      </c>
      <c r="CN111" s="284">
        <f>IF(AC111&gt;0,Standing!$C$126*0.33,0)</f>
        <v>0</v>
      </c>
      <c r="CO111" s="280">
        <f>IF(AC111&gt;0,Standing!$C$126*0.4,0)</f>
        <v>0</v>
      </c>
      <c r="CP111" s="281">
        <f>IF(AC111&gt;0,Standing!$C$26*0.33,0)</f>
        <v>0</v>
      </c>
      <c r="CQ111" s="282">
        <f>IF(AC111&gt;0,Standing!$C$26*0.2,0)</f>
        <v>0</v>
      </c>
      <c r="CR111" s="283">
        <f>IF(AC111&gt;0,Standing!$C$26*0.25,0)</f>
        <v>0</v>
      </c>
      <c r="CS111" s="285">
        <f>IF(AC111&gt;0,Standing!$C$26*0.2,0)</f>
        <v>0</v>
      </c>
      <c r="CT111" s="286"/>
      <c r="CU111" s="286" t="s">
        <v>28</v>
      </c>
    </row>
    <row r="112" ht="15.75" customHeight="1">
      <c r="A112" s="51"/>
      <c r="B112" s="296" t="s">
        <v>567</v>
      </c>
      <c r="C112" s="189">
        <f>Standing!$C$36</f>
        <v>2</v>
      </c>
      <c r="D112" s="218">
        <f t="shared" si="3"/>
        <v>0.6366182837</v>
      </c>
      <c r="E112" s="190">
        <f t="shared" si="4"/>
        <v>50.8</v>
      </c>
      <c r="F112" s="122">
        <f t="shared" si="5"/>
        <v>16.17010441</v>
      </c>
      <c r="G112" s="123">
        <f>C112/Introduction!$I$20</f>
        <v>0.02083333333</v>
      </c>
      <c r="H112" s="192">
        <f t="shared" si="6"/>
        <v>0.006631440455</v>
      </c>
      <c r="I112" s="124">
        <f>E112/Introduction!$I$20</f>
        <v>0.5291666667</v>
      </c>
      <c r="J112" s="125">
        <f t="shared" si="7"/>
        <v>0.1684385876</v>
      </c>
      <c r="K112" s="51"/>
      <c r="L112" s="51"/>
      <c r="M112" s="51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286"/>
      <c r="AB112" s="286" t="s">
        <v>29</v>
      </c>
      <c r="AC112" s="287">
        <f>IF('Ship Data Imperial'!E113&gt;0,'Ship Data Imperial'!E113,AD112)</f>
        <v>0</v>
      </c>
      <c r="AD112" s="287">
        <f>'Ship Data Metric'!E113*0.03280839895</f>
        <v>0</v>
      </c>
      <c r="AE112" s="284">
        <f>IF(AC112&gt;0,Standing!$C$75*0.65,0)</f>
        <v>0</v>
      </c>
      <c r="AF112" s="280">
        <f>IF(AC112&gt;0,Standing!$C$75*0.33,0)</f>
        <v>0</v>
      </c>
      <c r="AG112" s="281">
        <f>IF(AC112&gt;0,Standing!$C$75*0.2,0)</f>
        <v>0</v>
      </c>
      <c r="AH112" s="282">
        <f>IF(AC112&gt;0,Standing!$C$75*0.5,0)</f>
        <v>0</v>
      </c>
      <c r="AI112" s="283">
        <f>IF(AC112&gt;0,Standing!$C$75*0.2,0)</f>
        <v>0</v>
      </c>
      <c r="AJ112" s="284">
        <f>IF(AC112&gt;0,Standing!$C$75*0.25,0)</f>
        <v>0</v>
      </c>
      <c r="AK112" s="281">
        <f>IF(AC112&gt;0,Standing!$C$81*0.8,0)</f>
        <v>0</v>
      </c>
      <c r="AL112" s="282">
        <f t="shared" si="8"/>
        <v>0</v>
      </c>
      <c r="AM112" s="283">
        <f>IF(AC112&gt;0,Standing!$C$81*0.45,0)</f>
        <v>0</v>
      </c>
      <c r="AN112" s="284">
        <f>IF(AC112&gt;0,Standing!$C$81*0.55,0)</f>
        <v>0</v>
      </c>
      <c r="AO112" s="280">
        <f>IF(AC112&gt;0,Standing!$C$81*0.36,0)</f>
        <v>0</v>
      </c>
      <c r="AP112" s="281">
        <f>IF(AC112&gt;0,Standing!$C$81*0.9,0)</f>
        <v>0</v>
      </c>
      <c r="AQ112" s="282">
        <f>IF(AC112&gt;0,Standing!$C$85*0.9,0)</f>
        <v>0</v>
      </c>
      <c r="AR112" s="283">
        <f>IF(AC112&gt;0,Standing!$C$85*0.5,0)</f>
        <v>0</v>
      </c>
      <c r="AS112" s="284">
        <f>IF(AC112&gt;0,Standing!$C$85*0.55,0)</f>
        <v>0</v>
      </c>
      <c r="AT112" s="280">
        <f>IF(AC112&gt;0,Standing!$C$85*0.66,0)</f>
        <v>0</v>
      </c>
      <c r="AU112" s="281">
        <f>IF(AC112&gt;0,Standing!$C$75*0.25,0)</f>
        <v>0</v>
      </c>
      <c r="AV112" s="282">
        <f>IF(AC112&gt;0,Standing!$C$75*0.2,0)</f>
        <v>0</v>
      </c>
      <c r="AW112" s="283">
        <f>IF(AC112&gt;0,Standing!$C$26*0.33,0)</f>
        <v>0</v>
      </c>
      <c r="AX112" s="284">
        <f>IF(AC112&gt;0,Standing!$C$26*0.2,0)</f>
        <v>0</v>
      </c>
      <c r="AY112" s="280">
        <f>IF(AC112&gt;0,Standing!$C$26*0.25,0)</f>
        <v>0</v>
      </c>
      <c r="AZ112" s="281">
        <f>IF(AC112&gt;0,Standing!$C$26*0.33,0)</f>
        <v>0</v>
      </c>
      <c r="BA112" s="282">
        <f>IF(AC112&gt;0,Standing!$C$26*0.15,0)</f>
        <v>0</v>
      </c>
      <c r="BB112" s="283">
        <f>IF(AC112&gt;0,Standing!$C$26*0.125,0)</f>
        <v>0</v>
      </c>
      <c r="BC112" s="284">
        <f>IF(AC112&gt;0,Standing!$C$32*0.33,0)</f>
        <v>0</v>
      </c>
      <c r="BD112" s="280">
        <f>IF(AC112&gt;0,Standing!$C$32*0.5,0)</f>
        <v>0</v>
      </c>
      <c r="BE112" s="281">
        <f>IF(AC112&gt;0,Standing!$C$32*0.33,0)</f>
        <v>0</v>
      </c>
      <c r="BF112" s="282">
        <f>IF(AC112&gt;0,Standing!$C$32*0.33,0)</f>
        <v>0</v>
      </c>
      <c r="BG112" s="283">
        <f>IF(AC112&gt;0,Standing!$C$32*0.3,0)</f>
        <v>0</v>
      </c>
      <c r="BH112" s="284">
        <f>IF(AC112&gt;0,Standing!$C$32*0.4,0)</f>
        <v>0</v>
      </c>
      <c r="BI112" s="280">
        <f>IF(AC112&gt;0,Standing!$C$26*0.5,0)</f>
        <v>0</v>
      </c>
      <c r="BJ112" s="281">
        <f>IF(AC112&gt;0,Standing!$C$26*0.65,0)</f>
        <v>0</v>
      </c>
      <c r="BK112" s="282">
        <f>IF(AC112&gt;0,Standing!$C$26*0.5,0)</f>
        <v>0</v>
      </c>
      <c r="BL112" s="283">
        <f>IF(AC112&gt;0,Standing!$C$32*0.66,0)</f>
        <v>0</v>
      </c>
      <c r="BM112" s="281">
        <f>IF(AC112&gt;0,Standing!$C$32*0.85,0)</f>
        <v>0</v>
      </c>
      <c r="BN112" s="284">
        <f t="shared" si="9"/>
        <v>0</v>
      </c>
      <c r="BO112" s="282">
        <f>IF(AC112&gt;0,Standing!$C$32*0.45,0)</f>
        <v>0</v>
      </c>
      <c r="BP112" s="280">
        <f>IF(AC112&gt;0,Standing!$C$32*0.45,0)</f>
        <v>0</v>
      </c>
      <c r="BQ112" s="281">
        <f>IF(AC112&gt;0,Standing!$C$32*0.66,0)</f>
        <v>0</v>
      </c>
      <c r="BR112" s="282">
        <f>IF(AC112&gt;0,Standing!$C$32*0.33,0)</f>
        <v>0</v>
      </c>
      <c r="BS112" s="283">
        <f>IF(AC112&gt;0,Standing!$C$32*0.375,0)</f>
        <v>0</v>
      </c>
      <c r="BT112" s="284">
        <f>IF(AC112&gt;0,Standing!$C$32*0.45,0)</f>
        <v>0</v>
      </c>
      <c r="BU112" s="280">
        <f>IF(AC112&gt;0,Standing!$C$36*0.9,0)</f>
        <v>0</v>
      </c>
      <c r="BV112" s="281">
        <f>IF(AC112&gt;0,Standing!$C$36*0.45,0)</f>
        <v>0</v>
      </c>
      <c r="BW112" s="282">
        <f>IF(AC112&gt;0,Standing!$C$126*0.66,0)</f>
        <v>0</v>
      </c>
      <c r="BX112" s="283">
        <f>IF(AC112&gt;0,Standing!$C$126*0.66,0)</f>
        <v>0</v>
      </c>
      <c r="BY112" s="284">
        <f>IF(AC112&gt;0,Standing!$C$126*0.4,0)</f>
        <v>0</v>
      </c>
      <c r="BZ112" s="280">
        <f>IF(AC112&gt;0,Standing!$C$126*0.33,0)</f>
        <v>0</v>
      </c>
      <c r="CA112" s="281">
        <f>IF(AC112&gt;0,Standing!$C$132,0)</f>
        <v>0</v>
      </c>
      <c r="CB112" s="282">
        <f>IF(AC112&gt;0,Standing!$C$132*0.66,0)</f>
        <v>0</v>
      </c>
      <c r="CC112" s="283">
        <f>IF(AC112&gt;0,Standing!$C$132*0.5,0)</f>
        <v>0</v>
      </c>
      <c r="CD112" s="284">
        <f>IF(AC112&gt;0,Standing!$C$132*0.5,0)</f>
        <v>0</v>
      </c>
      <c r="CE112" s="280">
        <f>IF(AC112&gt;0,Standing!$C$132*0.5,0)</f>
        <v>0</v>
      </c>
      <c r="CF112" s="281">
        <f>IF(AC112&gt;0,Standing!$C$132*0.66,0)</f>
        <v>0</v>
      </c>
      <c r="CG112" s="282">
        <f>IF(AC112&gt;0,Standing!$C$132*0.5,0)</f>
        <v>0</v>
      </c>
      <c r="CH112" s="283">
        <f>IF(AC112&gt;0,Standing!$C$132*0.5,0)</f>
        <v>0</v>
      </c>
      <c r="CI112" s="284">
        <f>IF(AC112&gt;0,Standing!$C$132*0.5,0)</f>
        <v>0</v>
      </c>
      <c r="CJ112" s="280">
        <f>IF(AC112&gt;0,Standing!$C$132*0.5,0)</f>
        <v>0</v>
      </c>
      <c r="CK112" s="281">
        <f>IF(AC112&gt;0,Standing!$C$126*0.55,0)</f>
        <v>0</v>
      </c>
      <c r="CL112" s="282">
        <f>IF(AC112&gt;0,Standing!$C$126*0.75,0)</f>
        <v>0</v>
      </c>
      <c r="CM112" s="283">
        <f>IF(AC112&gt;0,Standing!$C$126*0.7,0)</f>
        <v>0</v>
      </c>
      <c r="CN112" s="284">
        <f>IF(AC112&gt;0,Standing!$C$126*0.33,0)</f>
        <v>0</v>
      </c>
      <c r="CO112" s="280">
        <f>IF(AC112&gt;0,Standing!$C$126*0.4,0)</f>
        <v>0</v>
      </c>
      <c r="CP112" s="281">
        <f>IF(AC112&gt;0,Standing!$C$26*0.33,0)</f>
        <v>0</v>
      </c>
      <c r="CQ112" s="282">
        <f>IF(AC112&gt;0,Standing!$C$26*0.2,0)</f>
        <v>0</v>
      </c>
      <c r="CR112" s="283">
        <f>IF(AC112&gt;0,Standing!$C$26*0.25,0)</f>
        <v>0</v>
      </c>
      <c r="CS112" s="285">
        <f>IF(AC112&gt;0,Standing!$C$26*0.2,0)</f>
        <v>0</v>
      </c>
      <c r="CT112" s="286"/>
      <c r="CU112" s="286" t="s">
        <v>29</v>
      </c>
    </row>
    <row r="113" ht="15.75" customHeight="1">
      <c r="A113" s="51"/>
      <c r="B113" s="296" t="s">
        <v>568</v>
      </c>
      <c r="C113" s="189">
        <f>Standing!$C$36*0.75</f>
        <v>1.5</v>
      </c>
      <c r="D113" s="218">
        <f t="shared" si="3"/>
        <v>0.4774637128</v>
      </c>
      <c r="E113" s="190">
        <f t="shared" si="4"/>
        <v>38.1</v>
      </c>
      <c r="F113" s="122">
        <f t="shared" si="5"/>
        <v>12.1275783</v>
      </c>
      <c r="G113" s="123">
        <f>C113/Introduction!$I$20</f>
        <v>0.015625</v>
      </c>
      <c r="H113" s="192">
        <f t="shared" si="6"/>
        <v>0.004973580341</v>
      </c>
      <c r="I113" s="124">
        <f>E113/Introduction!$I$20</f>
        <v>0.396875</v>
      </c>
      <c r="J113" s="125">
        <f t="shared" si="7"/>
        <v>0.1263289407</v>
      </c>
      <c r="K113" s="51"/>
      <c r="L113" s="51"/>
      <c r="M113" s="51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286"/>
      <c r="AB113" s="158" t="s">
        <v>56</v>
      </c>
      <c r="AC113" s="287">
        <f>IF('Ship Data Imperial'!E114&gt;0,'Ship Data Imperial'!E114,AD113)</f>
        <v>0</v>
      </c>
      <c r="AD113" s="287">
        <f>'Ship Data Metric'!E114*0.03280839895</f>
        <v>0</v>
      </c>
      <c r="AE113" s="284">
        <f>IF(AC113&gt;0,Standing!$C$75*0.65,0)</f>
        <v>0</v>
      </c>
      <c r="AF113" s="280">
        <f>IF(AC113&gt;0,Standing!$C$75*0.33,0)</f>
        <v>0</v>
      </c>
      <c r="AG113" s="281">
        <f>IF(AC113&gt;0,Standing!$C$75*0.2,0)</f>
        <v>0</v>
      </c>
      <c r="AH113" s="282">
        <f>IF(AC113&gt;0,Standing!$C$75*0.5,0)</f>
        <v>0</v>
      </c>
      <c r="AI113" s="283">
        <f>IF(AC113&gt;0,Standing!$C$75*0.2,0)</f>
        <v>0</v>
      </c>
      <c r="AJ113" s="284">
        <f>IF(AC113&gt;0,Standing!$C$75*0.25,0)</f>
        <v>0</v>
      </c>
      <c r="AK113" s="281">
        <f>IF(AC113&gt;0,Standing!$C$81*0.8,0)</f>
        <v>0</v>
      </c>
      <c r="AL113" s="282">
        <f t="shared" si="8"/>
        <v>0</v>
      </c>
      <c r="AM113" s="283">
        <f>IF(AC113&gt;0,Standing!$C$81*0.45,0)</f>
        <v>0</v>
      </c>
      <c r="AN113" s="284">
        <f>IF(AC113&gt;0,Standing!$C$81*0.55,0)</f>
        <v>0</v>
      </c>
      <c r="AO113" s="280">
        <f>IF(AC113&gt;0,Standing!$C$81*0.36,0)</f>
        <v>0</v>
      </c>
      <c r="AP113" s="281">
        <f>IF(AC113&gt;0,Standing!$C$81*0.9,0)</f>
        <v>0</v>
      </c>
      <c r="AQ113" s="282">
        <f>IF(AC113&gt;0,Standing!$C$85*0.9,0)</f>
        <v>0</v>
      </c>
      <c r="AR113" s="283">
        <f>IF(AC113&gt;0,Standing!$C$85*0.5,0)</f>
        <v>0</v>
      </c>
      <c r="AS113" s="284">
        <f>IF(AC113&gt;0,Standing!$C$85*0.55,0)</f>
        <v>0</v>
      </c>
      <c r="AT113" s="280">
        <f>IF(AC113&gt;0,Standing!$C$85*0.66,0)</f>
        <v>0</v>
      </c>
      <c r="AU113" s="281">
        <f>IF(AC113&gt;0,Standing!$C$75*0.25,0)</f>
        <v>0</v>
      </c>
      <c r="AV113" s="282">
        <f>IF(AC113&gt;0,Standing!$C$75*0.2,0)</f>
        <v>0</v>
      </c>
      <c r="AW113" s="283">
        <f>IF(AC113&gt;0,Standing!$C$26*0.33,0)</f>
        <v>0</v>
      </c>
      <c r="AX113" s="284">
        <f>IF(AC113&gt;0,Standing!$C$26*0.2,0)</f>
        <v>0</v>
      </c>
      <c r="AY113" s="280">
        <f>IF(AC113&gt;0,Standing!$C$26*0.25,0)</f>
        <v>0</v>
      </c>
      <c r="AZ113" s="281">
        <f>IF(AC113&gt;0,Standing!$C$26*0.33,0)</f>
        <v>0</v>
      </c>
      <c r="BA113" s="282">
        <f>IF(AC113&gt;0,Standing!$C$26*0.15,0)</f>
        <v>0</v>
      </c>
      <c r="BB113" s="283">
        <f>IF(AC113&gt;0,Standing!$C$26*0.125,0)</f>
        <v>0</v>
      </c>
      <c r="BC113" s="284">
        <f>IF(AC113&gt;0,Standing!$C$32*0.33,0)</f>
        <v>0</v>
      </c>
      <c r="BD113" s="280">
        <f>IF(AC113&gt;0,Standing!$C$32*0.5,0)</f>
        <v>0</v>
      </c>
      <c r="BE113" s="281">
        <f>IF(AC113&gt;0,Standing!$C$32*0.33,0)</f>
        <v>0</v>
      </c>
      <c r="BF113" s="282">
        <f>IF(AC113&gt;0,Standing!$C$32*0.33,0)</f>
        <v>0</v>
      </c>
      <c r="BG113" s="283">
        <f>IF(AC113&gt;0,Standing!$C$32*0.3,0)</f>
        <v>0</v>
      </c>
      <c r="BH113" s="284">
        <f>IF(AC113&gt;0,Standing!$C$32*0.4,0)</f>
        <v>0</v>
      </c>
      <c r="BI113" s="280">
        <f>IF(AC113&gt;0,Standing!$C$26*0.5,0)</f>
        <v>0</v>
      </c>
      <c r="BJ113" s="281">
        <f>IF(AC113&gt;0,Standing!$C$26*0.65,0)</f>
        <v>0</v>
      </c>
      <c r="BK113" s="282">
        <f>IF(AC113&gt;0,Standing!$C$26*0.5,0)</f>
        <v>0</v>
      </c>
      <c r="BL113" s="283">
        <f>IF(AC113&gt;0,Standing!$C$32*0.66,0)</f>
        <v>0</v>
      </c>
      <c r="BM113" s="281">
        <f>IF(AC113&gt;0,Standing!$C$32*0.85,0)</f>
        <v>0</v>
      </c>
      <c r="BN113" s="284">
        <f t="shared" si="9"/>
        <v>0</v>
      </c>
      <c r="BO113" s="282">
        <f>IF(AC113&gt;0,Standing!$C$32*0.45,0)</f>
        <v>0</v>
      </c>
      <c r="BP113" s="280">
        <f>IF(AC113&gt;0,Standing!$C$32*0.45,0)</f>
        <v>0</v>
      </c>
      <c r="BQ113" s="281">
        <f>IF(AC113&gt;0,Standing!$C$32*0.66,0)</f>
        <v>0</v>
      </c>
      <c r="BR113" s="282">
        <f>IF(AC113&gt;0,Standing!$C$32*0.33,0)</f>
        <v>0</v>
      </c>
      <c r="BS113" s="283">
        <f>IF(AC113&gt;0,Standing!$C$32*0.375,0)</f>
        <v>0</v>
      </c>
      <c r="BT113" s="284">
        <f>IF(AC113&gt;0,Standing!$C$32*0.45,0)</f>
        <v>0</v>
      </c>
      <c r="BU113" s="280">
        <f>IF(AC113&gt;0,Standing!$C$36*0.9,0)</f>
        <v>0</v>
      </c>
      <c r="BV113" s="281">
        <f>IF(AC113&gt;0,Standing!$C$36*0.45,0)</f>
        <v>0</v>
      </c>
      <c r="BW113" s="282">
        <f>IF(AC113&gt;0,Standing!$C$126*0.66,0)</f>
        <v>0</v>
      </c>
      <c r="BX113" s="283">
        <f>IF(AC113&gt;0,Standing!$C$126*0.66,0)</f>
        <v>0</v>
      </c>
      <c r="BY113" s="284">
        <f>IF(AC113&gt;0,Standing!$C$126*0.4,0)</f>
        <v>0</v>
      </c>
      <c r="BZ113" s="280">
        <f>IF(AC113&gt;0,Standing!$C$126*0.33,0)</f>
        <v>0</v>
      </c>
      <c r="CA113" s="281">
        <f>IF(AC113&gt;0,Standing!$C$132,0)</f>
        <v>0</v>
      </c>
      <c r="CB113" s="282">
        <f>IF(AC113&gt;0,Standing!$C$132*0.66,0)</f>
        <v>0</v>
      </c>
      <c r="CC113" s="283">
        <f>IF(AC113&gt;0,Standing!$C$132*0.5,0)</f>
        <v>0</v>
      </c>
      <c r="CD113" s="284">
        <f>IF(AC113&gt;0,Standing!$C$132*0.5,0)</f>
        <v>0</v>
      </c>
      <c r="CE113" s="280">
        <f>IF(AC113&gt;0,Standing!$C$132*0.5,0)</f>
        <v>0</v>
      </c>
      <c r="CF113" s="281">
        <f>IF(AC113&gt;0,Standing!$C$132*0.66,0)</f>
        <v>0</v>
      </c>
      <c r="CG113" s="282">
        <f>IF(AC113&gt;0,Standing!$C$132*0.5,0)</f>
        <v>0</v>
      </c>
      <c r="CH113" s="283">
        <f>IF(AC113&gt;0,Standing!$C$132*0.5,0)</f>
        <v>0</v>
      </c>
      <c r="CI113" s="284">
        <f>IF(AC113&gt;0,Standing!$C$132*0.5,0)</f>
        <v>0</v>
      </c>
      <c r="CJ113" s="280">
        <f>IF(AC113&gt;0,Standing!$C$132*0.5,0)</f>
        <v>0</v>
      </c>
      <c r="CK113" s="281">
        <f>IF(AC113&gt;0,Standing!$C$126*0.55,0)</f>
        <v>0</v>
      </c>
      <c r="CL113" s="282">
        <f>IF(AC113&gt;0,Standing!$C$126*0.75,0)</f>
        <v>0</v>
      </c>
      <c r="CM113" s="283">
        <f>IF(AC113&gt;0,Standing!$C$126*0.7,0)</f>
        <v>0</v>
      </c>
      <c r="CN113" s="284">
        <f>IF(AC113&gt;0,Standing!$C$126*0.33,0)</f>
        <v>0</v>
      </c>
      <c r="CO113" s="280">
        <f>IF(AC113&gt;0,Standing!$C$126*0.4,0)</f>
        <v>0</v>
      </c>
      <c r="CP113" s="281">
        <f>IF(AC113&gt;0,Standing!$C$26*0.33,0)</f>
        <v>0</v>
      </c>
      <c r="CQ113" s="282">
        <f>IF(AC113&gt;0,Standing!$C$26*0.2,0)</f>
        <v>0</v>
      </c>
      <c r="CR113" s="283">
        <f>IF(AC113&gt;0,Standing!$C$26*0.25,0)</f>
        <v>0</v>
      </c>
      <c r="CS113" s="285">
        <f>IF(AC113&gt;0,Standing!$C$26*0.2,0)</f>
        <v>0</v>
      </c>
      <c r="CT113" s="286"/>
      <c r="CU113" s="158" t="s">
        <v>56</v>
      </c>
    </row>
    <row r="114" ht="15.75" customHeight="1">
      <c r="A114" s="51"/>
      <c r="B114" s="296" t="s">
        <v>569</v>
      </c>
      <c r="C114" s="189">
        <f>IF(Standing!$C$36*0.5&gt;1.5,Standing!$C$36*0.5,1.5)</f>
        <v>1.5</v>
      </c>
      <c r="D114" s="218">
        <f t="shared" si="3"/>
        <v>0.4774637128</v>
      </c>
      <c r="E114" s="190">
        <f t="shared" si="4"/>
        <v>38.1</v>
      </c>
      <c r="F114" s="122">
        <f t="shared" si="5"/>
        <v>12.1275783</v>
      </c>
      <c r="G114" s="123">
        <f>C114/Introduction!$I$20</f>
        <v>0.015625</v>
      </c>
      <c r="H114" s="192">
        <f t="shared" si="6"/>
        <v>0.004973580341</v>
      </c>
      <c r="I114" s="124">
        <f>E114/Introduction!$I$20</f>
        <v>0.396875</v>
      </c>
      <c r="J114" s="125">
        <f t="shared" si="7"/>
        <v>0.1263289407</v>
      </c>
      <c r="K114" s="51"/>
      <c r="L114" s="51"/>
      <c r="M114" s="51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286" t="s">
        <v>53</v>
      </c>
      <c r="AB114" s="286" t="s">
        <v>24</v>
      </c>
      <c r="AC114" s="287">
        <f>IF('Ship Data Imperial'!E115&gt;0,'Ship Data Imperial'!E115,AD114)</f>
        <v>0</v>
      </c>
      <c r="AD114" s="287">
        <f>'Ship Data Metric'!E115*0.03280839895</f>
        <v>0</v>
      </c>
      <c r="AE114" s="284">
        <f>IF(AC114&gt;0,Standing!$C$75*0.45,0)</f>
        <v>0</v>
      </c>
      <c r="AF114" s="280">
        <f>IF(AC114&gt;0,Standing!$C$75*0.25,0)</f>
        <v>0</v>
      </c>
      <c r="AG114" s="281">
        <f>IF(AC114&gt;0,Standing!$C$75*0.165,0)</f>
        <v>0</v>
      </c>
      <c r="AH114" s="282">
        <f>IF(AC114&gt;0,Standing!$C$75*0.5,0)</f>
        <v>0</v>
      </c>
      <c r="AI114" s="283">
        <f>IF(AC114&gt;0,Standing!$C$75*0.16,0)</f>
        <v>0</v>
      </c>
      <c r="AJ114" s="284">
        <f>IF(AC114&gt;0,Standing!$C$75*0.2,0)</f>
        <v>0</v>
      </c>
      <c r="AK114" s="281">
        <f>IF(AC114&gt;0,Standing!$C$81*0.66,0)</f>
        <v>0</v>
      </c>
      <c r="AL114" s="282">
        <f t="shared" si="8"/>
        <v>0</v>
      </c>
      <c r="AM114" s="283">
        <f>IF(AC114&gt;0,Standing!$C$81*0.45,0)</f>
        <v>0</v>
      </c>
      <c r="AN114" s="284">
        <f>IF(AC114&gt;0,Standing!$C$81*0.55,0)</f>
        <v>0</v>
      </c>
      <c r="AO114" s="280">
        <f>IF(AC114&gt;0,Standing!$C$81*0.36,0)</f>
        <v>0</v>
      </c>
      <c r="AP114" s="281">
        <f>IF(AC114&gt;0,Standing!$C$81,0)</f>
        <v>0</v>
      </c>
      <c r="AQ114" s="282">
        <f>IF(AC114&gt;0,Standing!$C$85*0.9,0)</f>
        <v>0</v>
      </c>
      <c r="AR114" s="283">
        <f>IF(AC114&gt;0,Standing!$C$85*0.5,0)</f>
        <v>0</v>
      </c>
      <c r="AS114" s="284">
        <f>IF(AC114&gt;0,Standing!$C$85*0.55,0)</f>
        <v>0</v>
      </c>
      <c r="AT114" s="280">
        <f>IF(AC114&gt;0,Standing!$C$85*0.66,0)</f>
        <v>0</v>
      </c>
      <c r="AU114" s="281">
        <f>IF(AC114&gt;0,Standing!$C$75*0.2,0)</f>
        <v>0</v>
      </c>
      <c r="AV114" s="282">
        <f>IF(AC114&gt;0,Standing!$C$75*0.2,0)</f>
        <v>0</v>
      </c>
      <c r="AW114" s="283">
        <f>IF(AC114&gt;0,Standing!$C$26*0.33,0)</f>
        <v>0</v>
      </c>
      <c r="AX114" s="284">
        <f>IF(AC114&gt;0,Standing!$C$26*0.2,0)</f>
        <v>0</v>
      </c>
      <c r="AY114" s="280">
        <f>IF(AC114&gt;0,Standing!$C$26*0.25,0)</f>
        <v>0</v>
      </c>
      <c r="AZ114" s="281">
        <f>IF(AC114&gt;0,Standing!$C$26*0.33,0)</f>
        <v>0</v>
      </c>
      <c r="BA114" s="282">
        <f>IF(AC114&gt;0,Standing!$C$26*0.15,0)</f>
        <v>0</v>
      </c>
      <c r="BB114" s="283">
        <f>IF(AC114&gt;0,Standing!$C$26*0.125,0)</f>
        <v>0</v>
      </c>
      <c r="BC114" s="284">
        <f>IF(AC114&gt;0,Standing!$C$32*0.33,0)</f>
        <v>0</v>
      </c>
      <c r="BD114" s="280">
        <f>IF(AC114&gt;0,Standing!$C$32*0.5,0)</f>
        <v>0</v>
      </c>
      <c r="BE114" s="281">
        <f>IF(AC114&gt;0,Standing!$C$32*0.33,0)</f>
        <v>0</v>
      </c>
      <c r="BF114" s="282">
        <f>IF(AC114&gt;0,Standing!$C$32*0.33,0)</f>
        <v>0</v>
      </c>
      <c r="BG114" s="283">
        <f>IF(AC114&gt;0,Standing!$C$32*0.25,0)</f>
        <v>0</v>
      </c>
      <c r="BH114" s="284">
        <f>IF(AC114&gt;0,Standing!$C$32*0.33,0)</f>
        <v>0</v>
      </c>
      <c r="BI114" s="280">
        <f>IF(AC114&gt;0,Standing!$C$26*0.5,0)</f>
        <v>0</v>
      </c>
      <c r="BJ114" s="281">
        <f>IF(AC114&gt;0,Standing!$C$26*0.45,0)</f>
        <v>0</v>
      </c>
      <c r="BK114" s="282">
        <f>IF(AC114&gt;0,Standing!$C$26*0.5,0)</f>
        <v>0</v>
      </c>
      <c r="BL114" s="283">
        <f>IF(AC114&gt;0,Standing!$C$32*0.66,0)</f>
        <v>0</v>
      </c>
      <c r="BM114" s="281">
        <f>IF(AC114&gt;0,Standing!$C$32*0.9,0)</f>
        <v>0</v>
      </c>
      <c r="BN114" s="284">
        <f t="shared" si="9"/>
        <v>0</v>
      </c>
      <c r="BO114" s="282">
        <f>IF(AC114&gt;0,Standing!$C$32*0.5,0)</f>
        <v>0</v>
      </c>
      <c r="BP114" s="280">
        <f>IF(AC114&gt;0,Standing!$C$32*0.45,0)</f>
        <v>0</v>
      </c>
      <c r="BQ114" s="281">
        <f>IF(AC114&gt;0,Standing!$C$32*0.66,0)</f>
        <v>0</v>
      </c>
      <c r="BR114" s="282">
        <f>IF(AC114&gt;0,Standing!$C$32*0.33,0)</f>
        <v>0</v>
      </c>
      <c r="BS114" s="283">
        <f>IF(AC114&gt;0,Standing!$C$32*0.33,0)</f>
        <v>0</v>
      </c>
      <c r="BT114" s="284">
        <f>IF(AC114&gt;0,Standing!$C$32*0.45,0)</f>
        <v>0</v>
      </c>
      <c r="BU114" s="280">
        <f>IF(AC114&gt;0,Standing!$C$36*0.9,0)</f>
        <v>0</v>
      </c>
      <c r="BV114" s="281">
        <f>IF(AC114&gt;0,Standing!$C$36*0.45,0)</f>
        <v>0</v>
      </c>
      <c r="BW114" s="282">
        <f>IF(AC114&gt;0,Standing!$C$126*0.66,0)</f>
        <v>0</v>
      </c>
      <c r="BX114" s="283">
        <f>IF(AC114&gt;0,Standing!$C$126*0.66,0)</f>
        <v>0</v>
      </c>
      <c r="BY114" s="284">
        <f>IF(AC114&gt;0,Standing!$C$126*0.4,0)</f>
        <v>0</v>
      </c>
      <c r="BZ114" s="280">
        <f>IF(AC114&gt;0,Standing!$C$126*0.33,0)</f>
        <v>0</v>
      </c>
      <c r="CA114" s="281">
        <f>IF(AC114&gt;0,Standing!$C$132*0.8,0)</f>
        <v>0</v>
      </c>
      <c r="CB114" s="282">
        <f>IF(AC114&gt;0,Standing!$C$132*0.66,0)</f>
        <v>0</v>
      </c>
      <c r="CC114" s="283">
        <f>IF(AC114&gt;0,Standing!$C$132*0.5,0)</f>
        <v>0</v>
      </c>
      <c r="CD114" s="284">
        <f>IF(AC114&gt;0,Standing!$C$132*0.5,0)</f>
        <v>0</v>
      </c>
      <c r="CE114" s="280">
        <f>IF(AC114&gt;0,Standing!$C$132*0.4,0)</f>
        <v>0</v>
      </c>
      <c r="CF114" s="281">
        <f>IF(AC114&gt;0,Standing!$C$132*0.66,0)</f>
        <v>0</v>
      </c>
      <c r="CG114" s="282">
        <f>IF(AC114&gt;0,Standing!$C$132*0.5,0)</f>
        <v>0</v>
      </c>
      <c r="CH114" s="283">
        <f>IF(AC114&gt;0,Standing!$C$132*0.5,0)</f>
        <v>0</v>
      </c>
      <c r="CI114" s="284">
        <f>IF(AC114&gt;0,Standing!$C$132*0.5,0)</f>
        <v>0</v>
      </c>
      <c r="CJ114" s="280">
        <f>IF(AC114&gt;0,Standing!$C$132*0.5,0)</f>
        <v>0</v>
      </c>
      <c r="CK114" s="281">
        <f>IF(AC114&gt;0,Standing!$C$126*0.55,0)</f>
        <v>0</v>
      </c>
      <c r="CL114" s="282">
        <f>IF(AC114&gt;0,Standing!$C$126*0.75,0)</f>
        <v>0</v>
      </c>
      <c r="CM114" s="283">
        <f>IF(AC114&gt;0,Standing!$C$126*0.7,0)</f>
        <v>0</v>
      </c>
      <c r="CN114" s="284">
        <f>IF(AC114&gt;0,Standing!$C$126*0.33,0)</f>
        <v>0</v>
      </c>
      <c r="CO114" s="280">
        <f>IF(AC114&gt;0,Standing!$C$126*0.4,0)</f>
        <v>0</v>
      </c>
      <c r="CP114" s="281">
        <f>IF(AC114&gt;0,Standing!$C$26*0.25,0)</f>
        <v>0</v>
      </c>
      <c r="CQ114" s="282">
        <f>IF(AC114&gt;0,Standing!$C$26*0.165,0)</f>
        <v>0</v>
      </c>
      <c r="CR114" s="283">
        <f>IF(AC114&gt;0,Standing!$C$26*0.2,0)</f>
        <v>0</v>
      </c>
      <c r="CS114" s="285">
        <f>IF(AC114&gt;0,Standing!$C$26*0.16,0)</f>
        <v>0</v>
      </c>
      <c r="CT114" s="286" t="s">
        <v>53</v>
      </c>
      <c r="CU114" s="286" t="s">
        <v>24</v>
      </c>
    </row>
    <row r="115" ht="15.75" customHeight="1">
      <c r="A115" s="51"/>
      <c r="B115" s="296" t="s">
        <v>570</v>
      </c>
      <c r="C115" s="189">
        <f>IF(Standing!$C$36*0.165&gt;1,Standing!$C$36*0.165,1)</f>
        <v>1</v>
      </c>
      <c r="D115" s="218">
        <f t="shared" si="3"/>
        <v>0.3183091418</v>
      </c>
      <c r="E115" s="190">
        <f t="shared" si="4"/>
        <v>25.4</v>
      </c>
      <c r="F115" s="122">
        <f t="shared" si="5"/>
        <v>8.085052203</v>
      </c>
      <c r="G115" s="123">
        <f>C115/Introduction!$I$20</f>
        <v>0.01041666667</v>
      </c>
      <c r="H115" s="192">
        <f t="shared" si="6"/>
        <v>0.003315720227</v>
      </c>
      <c r="I115" s="124">
        <f>E115/Introduction!$I$20</f>
        <v>0.2645833333</v>
      </c>
      <c r="J115" s="125">
        <f t="shared" si="7"/>
        <v>0.08421929378</v>
      </c>
      <c r="K115" s="51"/>
      <c r="L115" s="51"/>
      <c r="M115" s="51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286"/>
      <c r="AB115" s="286" t="s">
        <v>25</v>
      </c>
      <c r="AC115" s="287">
        <f>IF('Ship Data Imperial'!E116&gt;0,'Ship Data Imperial'!E116,AD115)</f>
        <v>0</v>
      </c>
      <c r="AD115" s="287">
        <f>'Ship Data Metric'!E116*0.03280839895</f>
        <v>0</v>
      </c>
      <c r="AE115" s="284">
        <f>IF(AC115&gt;0,Standing!$C$75*0.45,0)</f>
        <v>0</v>
      </c>
      <c r="AF115" s="280">
        <f>IF(AC115&gt;0,Standing!$C$75*0.25,0)</f>
        <v>0</v>
      </c>
      <c r="AG115" s="281">
        <f>IF(AC115&gt;0,Standing!$C$75*0.165,0)</f>
        <v>0</v>
      </c>
      <c r="AH115" s="282">
        <f>IF(AC115&gt;0,Standing!$C$75*0.5,0)</f>
        <v>0</v>
      </c>
      <c r="AI115" s="283">
        <f>IF(AC115&gt;0,Standing!$C$75*0.16,0)</f>
        <v>0</v>
      </c>
      <c r="AJ115" s="284">
        <f>IF(AC115&gt;0,Standing!$C$75*0.2,0)</f>
        <v>0</v>
      </c>
      <c r="AK115" s="281">
        <f>IF(AC115&gt;0,Standing!$C$81*0.66,0)</f>
        <v>0</v>
      </c>
      <c r="AL115" s="282">
        <f t="shared" si="8"/>
        <v>0</v>
      </c>
      <c r="AM115" s="283">
        <f>IF(AC115&gt;0,Standing!$C$81*0.45,0)</f>
        <v>0</v>
      </c>
      <c r="AN115" s="284">
        <f>IF(AC115&gt;0,Standing!$C$81*0.55,0)</f>
        <v>0</v>
      </c>
      <c r="AO115" s="280">
        <f>IF(AC115&gt;0,Standing!$C$81*0.36,0)</f>
        <v>0</v>
      </c>
      <c r="AP115" s="281">
        <f>IF(AC115&gt;0,Standing!$C$81,0)</f>
        <v>0</v>
      </c>
      <c r="AQ115" s="282">
        <f>IF(AC115&gt;0,Standing!$C$85*0.9,0)</f>
        <v>0</v>
      </c>
      <c r="AR115" s="283">
        <f>IF(AC115&gt;0,Standing!$C$85*0.5,0)</f>
        <v>0</v>
      </c>
      <c r="AS115" s="284">
        <f>IF(AC115&gt;0,Standing!$C$85*0.55,0)</f>
        <v>0</v>
      </c>
      <c r="AT115" s="280">
        <f>IF(AC115&gt;0,Standing!$C$85*0.66,0)</f>
        <v>0</v>
      </c>
      <c r="AU115" s="281">
        <f>IF(AC115&gt;0,Standing!$C$75*0.2,0)</f>
        <v>0</v>
      </c>
      <c r="AV115" s="282">
        <f>IF(AC115&gt;0,Standing!$C$75*0.2,0)</f>
        <v>0</v>
      </c>
      <c r="AW115" s="283">
        <f>IF(AC115&gt;0,Standing!$C$26*0.33,0)</f>
        <v>0</v>
      </c>
      <c r="AX115" s="284">
        <f>IF(AC115&gt;0,Standing!$C$26*0.2,0)</f>
        <v>0</v>
      </c>
      <c r="AY115" s="280">
        <f>IF(AC115&gt;0,Standing!$C$26*0.25,0)</f>
        <v>0</v>
      </c>
      <c r="AZ115" s="281">
        <f>IF(AC115&gt;0,Standing!$C$26*0.33,0)</f>
        <v>0</v>
      </c>
      <c r="BA115" s="282">
        <f>IF(AC115&gt;0,Standing!$C$26*0.15,0)</f>
        <v>0</v>
      </c>
      <c r="BB115" s="283">
        <f>IF(AC115&gt;0,Standing!$C$26*0.125,0)</f>
        <v>0</v>
      </c>
      <c r="BC115" s="284">
        <f>IF(AC115&gt;0,Standing!$C$32*0.33,0)</f>
        <v>0</v>
      </c>
      <c r="BD115" s="280">
        <f>IF(AC115&gt;0,Standing!$C$32*0.5,0)</f>
        <v>0</v>
      </c>
      <c r="BE115" s="281">
        <f>IF(AC115&gt;0,Standing!$C$32*0.33,0)</f>
        <v>0</v>
      </c>
      <c r="BF115" s="282">
        <f>IF(AC115&gt;0,Standing!$C$32*0.33,0)</f>
        <v>0</v>
      </c>
      <c r="BG115" s="283">
        <f>IF(AC115&gt;0,Standing!$C$32*0.25,0)</f>
        <v>0</v>
      </c>
      <c r="BH115" s="284">
        <f>IF(AC115&gt;0,Standing!$C$32*0.33,0)</f>
        <v>0</v>
      </c>
      <c r="BI115" s="280">
        <f>IF(AC115&gt;0,Standing!$C$26*0.5,0)</f>
        <v>0</v>
      </c>
      <c r="BJ115" s="281">
        <f>IF(AC115&gt;0,Standing!$C$26*0.45,0)</f>
        <v>0</v>
      </c>
      <c r="BK115" s="282">
        <f>IF(AC115&gt;0,Standing!$C$26*0.5,0)</f>
        <v>0</v>
      </c>
      <c r="BL115" s="283">
        <f>IF(AC115&gt;0,Standing!$C$32*0.66,0)</f>
        <v>0</v>
      </c>
      <c r="BM115" s="281">
        <f>IF(AC115&gt;0,Standing!$C$32*0.9,0)</f>
        <v>0</v>
      </c>
      <c r="BN115" s="284">
        <f t="shared" si="9"/>
        <v>0</v>
      </c>
      <c r="BO115" s="282">
        <f>IF(AC115&gt;0,Standing!$C$32*0.5,0)</f>
        <v>0</v>
      </c>
      <c r="BP115" s="280">
        <f>IF(AC115&gt;0,Standing!$C$32*0.45,0)</f>
        <v>0</v>
      </c>
      <c r="BQ115" s="281">
        <f>IF(AC115&gt;0,Standing!$C$32*0.66,0)</f>
        <v>0</v>
      </c>
      <c r="BR115" s="282">
        <f>IF(AC115&gt;0,Standing!$C$32*0.33,0)</f>
        <v>0</v>
      </c>
      <c r="BS115" s="283">
        <f>IF(AC115&gt;0,Standing!$C$32*0.33,0)</f>
        <v>0</v>
      </c>
      <c r="BT115" s="284">
        <f>IF(AC115&gt;0,Standing!$C$32*0.45,0)</f>
        <v>0</v>
      </c>
      <c r="BU115" s="280">
        <f>IF(AC115&gt;0,Standing!$C$36*0.9,0)</f>
        <v>0</v>
      </c>
      <c r="BV115" s="281">
        <f>IF(AC115&gt;0,Standing!$C$36*0.45,0)</f>
        <v>0</v>
      </c>
      <c r="BW115" s="282">
        <f>IF(AC115&gt;0,Standing!$C$126*0.66,0)</f>
        <v>0</v>
      </c>
      <c r="BX115" s="283">
        <f>IF(AC115&gt;0,Standing!$C$126*0.66,0)</f>
        <v>0</v>
      </c>
      <c r="BY115" s="284">
        <f>IF(AC115&gt;0,Standing!$C$126*0.4,0)</f>
        <v>0</v>
      </c>
      <c r="BZ115" s="280">
        <f>IF(AC115&gt;0,Standing!$C$126*0.33,0)</f>
        <v>0</v>
      </c>
      <c r="CA115" s="281">
        <f>IF(AC115&gt;0,Standing!$C$132*0.8,0)</f>
        <v>0</v>
      </c>
      <c r="CB115" s="282">
        <f>IF(AC115&gt;0,Standing!$C$132*0.66,0)</f>
        <v>0</v>
      </c>
      <c r="CC115" s="283">
        <f>IF(AC115&gt;0,Standing!$C$132*0.5,0)</f>
        <v>0</v>
      </c>
      <c r="CD115" s="284">
        <f>IF(AC115&gt;0,Standing!$C$132*0.5,0)</f>
        <v>0</v>
      </c>
      <c r="CE115" s="280">
        <f>IF(AC115&gt;0,Standing!$C$132*0.4,0)</f>
        <v>0</v>
      </c>
      <c r="CF115" s="281">
        <f>IF(AC115&gt;0,Standing!$C$132*0.66,0)</f>
        <v>0</v>
      </c>
      <c r="CG115" s="282">
        <f>IF(AC115&gt;0,Standing!$C$132*0.5,0)</f>
        <v>0</v>
      </c>
      <c r="CH115" s="283">
        <f>IF(AC115&gt;0,Standing!$C$132*0.5,0)</f>
        <v>0</v>
      </c>
      <c r="CI115" s="284">
        <f>IF(AC115&gt;0,Standing!$C$132*0.5,0)</f>
        <v>0</v>
      </c>
      <c r="CJ115" s="280">
        <f>IF(AC115&gt;0,Standing!$C$132*0.5,0)</f>
        <v>0</v>
      </c>
      <c r="CK115" s="281">
        <f>IF(AC115&gt;0,Standing!$C$126*0.55,0)</f>
        <v>0</v>
      </c>
      <c r="CL115" s="282">
        <f>IF(AC115&gt;0,Standing!$C$126*0.75,0)</f>
        <v>0</v>
      </c>
      <c r="CM115" s="283">
        <f>IF(AC115&gt;0,Standing!$C$126*0.7,0)</f>
        <v>0</v>
      </c>
      <c r="CN115" s="284">
        <f>IF(AC115&gt;0,Standing!$C$126*0.33,0)</f>
        <v>0</v>
      </c>
      <c r="CO115" s="280">
        <f>IF(AC115&gt;0,Standing!$C$126*0.4,0)</f>
        <v>0</v>
      </c>
      <c r="CP115" s="281">
        <f>IF(AC115&gt;0,Standing!$C$26*0.25,0)</f>
        <v>0</v>
      </c>
      <c r="CQ115" s="282">
        <f>IF(AC115&gt;0,Standing!$C$26*0.165,0)</f>
        <v>0</v>
      </c>
      <c r="CR115" s="283">
        <f>IF(AC115&gt;0,Standing!$C$26*0.2,0)</f>
        <v>0</v>
      </c>
      <c r="CS115" s="285">
        <f>IF(AC115&gt;0,Standing!$C$26*0.16,0)</f>
        <v>0</v>
      </c>
      <c r="CT115" s="286"/>
      <c r="CU115" s="286" t="s">
        <v>25</v>
      </c>
    </row>
    <row r="116" ht="15.75" customHeight="1">
      <c r="A116" s="51"/>
      <c r="B116" s="298" t="s">
        <v>571</v>
      </c>
      <c r="C116" s="189">
        <f>Standing!$C$36*0.5</f>
        <v>1</v>
      </c>
      <c r="D116" s="218">
        <f t="shared" si="3"/>
        <v>0.3183091418</v>
      </c>
      <c r="E116" s="190">
        <f t="shared" si="4"/>
        <v>25.4</v>
      </c>
      <c r="F116" s="122">
        <f t="shared" si="5"/>
        <v>8.085052203</v>
      </c>
      <c r="G116" s="123">
        <f>C116/Introduction!$I$20</f>
        <v>0.01041666667</v>
      </c>
      <c r="H116" s="192">
        <f t="shared" si="6"/>
        <v>0.003315720227</v>
      </c>
      <c r="I116" s="124">
        <f>E116/Introduction!$I$20</f>
        <v>0.2645833333</v>
      </c>
      <c r="J116" s="125">
        <f t="shared" si="7"/>
        <v>0.08421929378</v>
      </c>
      <c r="K116" s="51"/>
      <c r="L116" s="51"/>
      <c r="M116" s="51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286"/>
      <c r="AB116" s="286" t="s">
        <v>26</v>
      </c>
      <c r="AC116" s="287">
        <f>IF('Ship Data Imperial'!E117&gt;0,'Ship Data Imperial'!E117,AD116)</f>
        <v>0</v>
      </c>
      <c r="AD116" s="287">
        <f>'Ship Data Metric'!E117*0.03280839895</f>
        <v>0</v>
      </c>
      <c r="AE116" s="284">
        <f>IF(AC116&gt;0,Standing!$C$75*0.45,0)</f>
        <v>0</v>
      </c>
      <c r="AF116" s="280">
        <f>IF(AC116&gt;0,Standing!$C$75*0.25,0)</f>
        <v>0</v>
      </c>
      <c r="AG116" s="281">
        <f>IF(AC116&gt;0,Standing!$C$75*0.2,0)</f>
        <v>0</v>
      </c>
      <c r="AH116" s="282">
        <f>IF(AC116&gt;0,Standing!$C$75*0.5,0)</f>
        <v>0</v>
      </c>
      <c r="AI116" s="283">
        <f>IF(AC116&gt;0,Standing!$C$75*0.2,0)</f>
        <v>0</v>
      </c>
      <c r="AJ116" s="284">
        <f>IF(AC116&gt;0,Standing!$C$75*0.25,0)</f>
        <v>0</v>
      </c>
      <c r="AK116" s="281">
        <f>IF(AC116&gt;0,Standing!$C$81*0.8,0)</f>
        <v>0</v>
      </c>
      <c r="AL116" s="282">
        <f t="shared" si="8"/>
        <v>0</v>
      </c>
      <c r="AM116" s="283">
        <f>IF(AC116&gt;0,Standing!$C$81*0.45,0)</f>
        <v>0</v>
      </c>
      <c r="AN116" s="284">
        <f>IF(AC116&gt;0,Standing!$C$81*0.55,0)</f>
        <v>0</v>
      </c>
      <c r="AO116" s="280">
        <f>IF(AC116&gt;0,Standing!$C$81*0.36,0)</f>
        <v>0</v>
      </c>
      <c r="AP116" s="281">
        <f>IF(AC116&gt;0,Standing!$C$81*0.9,0)</f>
        <v>0</v>
      </c>
      <c r="AQ116" s="282">
        <f>IF(AC116&gt;0,Standing!$C$85*0.9,0)</f>
        <v>0</v>
      </c>
      <c r="AR116" s="283">
        <f>IF(AC116&gt;0,Standing!$C$85*0.5,0)</f>
        <v>0</v>
      </c>
      <c r="AS116" s="284">
        <f>IF(AC116&gt;0,Standing!$C$85*0.55,0)</f>
        <v>0</v>
      </c>
      <c r="AT116" s="280">
        <f>IF(AC116&gt;0,Standing!$C$85*0.66,0)</f>
        <v>0</v>
      </c>
      <c r="AU116" s="281">
        <f>IF(AC116&gt;0,Standing!$C$75*0.2,0)</f>
        <v>0</v>
      </c>
      <c r="AV116" s="282">
        <f>IF(AC116&gt;0,Standing!$C$75*0.2,0)</f>
        <v>0</v>
      </c>
      <c r="AW116" s="283">
        <f>IF(AC116&gt;0,Standing!$C$26*0.33,0)</f>
        <v>0</v>
      </c>
      <c r="AX116" s="284">
        <f>IF(AC116&gt;0,Standing!$C$26*0.2,0)</f>
        <v>0</v>
      </c>
      <c r="AY116" s="280">
        <f>IF(AC116&gt;0,Standing!$C$26*0.25,0)</f>
        <v>0</v>
      </c>
      <c r="AZ116" s="281">
        <f>IF(AC116&gt;0,Standing!$C$26*0.33,0)</f>
        <v>0</v>
      </c>
      <c r="BA116" s="282">
        <f>IF(AC116&gt;0,Standing!$C$26*0.15,0)</f>
        <v>0</v>
      </c>
      <c r="BB116" s="283">
        <f>IF(AC116&gt;0,Standing!$C$26*0.125,0)</f>
        <v>0</v>
      </c>
      <c r="BC116" s="284">
        <f>IF(AC116&gt;0,Standing!$C$32*0.33,0)</f>
        <v>0</v>
      </c>
      <c r="BD116" s="280">
        <f>IF(AC116&gt;0,Standing!$C$32*0.5,0)</f>
        <v>0</v>
      </c>
      <c r="BE116" s="281">
        <f>IF(AC116&gt;0,Standing!$C$32*0.33,0)</f>
        <v>0</v>
      </c>
      <c r="BF116" s="282">
        <f>IF(AC116&gt;0,Standing!$C$32*0.33,0)</f>
        <v>0</v>
      </c>
      <c r="BG116" s="283">
        <f>IF(AC116&gt;0,Standing!$C$32*0.25,0)</f>
        <v>0</v>
      </c>
      <c r="BH116" s="284">
        <f>IF(AC116&gt;0,Standing!$C$32*0.4,0)</f>
        <v>0</v>
      </c>
      <c r="BI116" s="280">
        <f>IF(AC116&gt;0,Standing!$C$26*0.5,0)</f>
        <v>0</v>
      </c>
      <c r="BJ116" s="281">
        <f>IF(AC116&gt;0,Standing!$C$26*0.45,0)</f>
        <v>0</v>
      </c>
      <c r="BK116" s="282">
        <f>IF(AC116&gt;0,Standing!$C$26*0.5,0)</f>
        <v>0</v>
      </c>
      <c r="BL116" s="283">
        <f>IF(AC116&gt;0,Standing!$C$32*0.66,0)</f>
        <v>0</v>
      </c>
      <c r="BM116" s="281">
        <f>IF(AC116&gt;0,Standing!$C$32*0.85,0)</f>
        <v>0</v>
      </c>
      <c r="BN116" s="284">
        <f t="shared" si="9"/>
        <v>0</v>
      </c>
      <c r="BO116" s="282">
        <f>IF(AC116&gt;0,Standing!$C$32*0.5,0)</f>
        <v>0</v>
      </c>
      <c r="BP116" s="280">
        <f>IF(AC116&gt;0,Standing!$C$32*0.45,0)</f>
        <v>0</v>
      </c>
      <c r="BQ116" s="281">
        <f>IF(AC116&gt;0,Standing!$C$32*0.66,0)</f>
        <v>0</v>
      </c>
      <c r="BR116" s="282">
        <f>IF(AC116&gt;0,Standing!$C$32*0.33,0)</f>
        <v>0</v>
      </c>
      <c r="BS116" s="283">
        <f>IF(AC116&gt;0,Standing!$C$32*0.33,0)</f>
        <v>0</v>
      </c>
      <c r="BT116" s="284">
        <f>IF(AC116&gt;0,Standing!$C$32*0.45,0)</f>
        <v>0</v>
      </c>
      <c r="BU116" s="280">
        <f>IF(AC116&gt;0,Standing!$C$36*0.9,0)</f>
        <v>0</v>
      </c>
      <c r="BV116" s="281">
        <f>IF(AC116&gt;0,Standing!$C$36*0.45,0)</f>
        <v>0</v>
      </c>
      <c r="BW116" s="282">
        <f>IF(AC116&gt;0,Standing!$C$126*0.66,0)</f>
        <v>0</v>
      </c>
      <c r="BX116" s="283">
        <f>IF(AC116&gt;0,Standing!$C$126*0.66,0)</f>
        <v>0</v>
      </c>
      <c r="BY116" s="284">
        <f>IF(AC116&gt;0,Standing!$C$126*0.4,0)</f>
        <v>0</v>
      </c>
      <c r="BZ116" s="280">
        <f>IF(AC116&gt;0,Standing!$C$126*0.33,0)</f>
        <v>0</v>
      </c>
      <c r="CA116" s="281">
        <f>IF(AC116&gt;0,Standing!$C$132*0.8,0)</f>
        <v>0</v>
      </c>
      <c r="CB116" s="282">
        <f>IF(AC116&gt;0,Standing!$C$132*0.66,0)</f>
        <v>0</v>
      </c>
      <c r="CC116" s="283">
        <f>IF(AC116&gt;0,Standing!$C$132*0.5,0)</f>
        <v>0</v>
      </c>
      <c r="CD116" s="284">
        <f>IF(AC116&gt;0,Standing!$C$132*0.5,0)</f>
        <v>0</v>
      </c>
      <c r="CE116" s="280">
        <f>IF(AC116&gt;0,Standing!$C$132*0.4,0)</f>
        <v>0</v>
      </c>
      <c r="CF116" s="281">
        <f>IF(AC116&gt;0,Standing!$C$132*0.66,0)</f>
        <v>0</v>
      </c>
      <c r="CG116" s="282">
        <f>IF(AC116&gt;0,Standing!$C$132*0.5,0)</f>
        <v>0</v>
      </c>
      <c r="CH116" s="283">
        <f>IF(AC116&gt;0,Standing!$C$132*0.5,0)</f>
        <v>0</v>
      </c>
      <c r="CI116" s="284">
        <f>IF(AC116&gt;0,Standing!$C$132*0.5,0)</f>
        <v>0</v>
      </c>
      <c r="CJ116" s="280">
        <f>IF(AC116&gt;0,Standing!$C$132*0.5,0)</f>
        <v>0</v>
      </c>
      <c r="CK116" s="281">
        <f>IF(AC116&gt;0,Standing!$C$126*0.55,0)</f>
        <v>0</v>
      </c>
      <c r="CL116" s="282">
        <f>IF(AC116&gt;0,Standing!$C$126*0.75,0)</f>
        <v>0</v>
      </c>
      <c r="CM116" s="283">
        <f>IF(AC116&gt;0,Standing!$C$126*0.7,0)</f>
        <v>0</v>
      </c>
      <c r="CN116" s="284">
        <f>IF(AC116&gt;0,Standing!$C$126*0.33,0)</f>
        <v>0</v>
      </c>
      <c r="CO116" s="280">
        <f>IF(AC116&gt;0,Standing!$C$126*0.4,0)</f>
        <v>0</v>
      </c>
      <c r="CP116" s="281">
        <f>IF(AC116&gt;0,Standing!$C$26*0.25,0)</f>
        <v>0</v>
      </c>
      <c r="CQ116" s="282">
        <f>IF(AC116&gt;0,Standing!$C$26*0.2,0)</f>
        <v>0</v>
      </c>
      <c r="CR116" s="283">
        <f>IF(AC116&gt;0,Standing!$C$26*0.25,0)</f>
        <v>0</v>
      </c>
      <c r="CS116" s="285">
        <f>IF(AC116&gt;0,Standing!$C$26*0.2,0)</f>
        <v>0</v>
      </c>
      <c r="CT116" s="286"/>
      <c r="CU116" s="286" t="s">
        <v>26</v>
      </c>
    </row>
    <row r="117" ht="15.75" customHeight="1">
      <c r="A117" s="51"/>
      <c r="B117" s="299" t="s">
        <v>572</v>
      </c>
      <c r="C117" s="189">
        <f>IF(Standing!$C$36*0.45&gt;1,Standing!$C$36*0.45,1)</f>
        <v>1</v>
      </c>
      <c r="D117" s="218">
        <f t="shared" si="3"/>
        <v>0.3183091418</v>
      </c>
      <c r="E117" s="190">
        <f t="shared" si="4"/>
        <v>25.4</v>
      </c>
      <c r="F117" s="122">
        <f t="shared" si="5"/>
        <v>8.085052203</v>
      </c>
      <c r="G117" s="123">
        <f>C117/Introduction!$I$20</f>
        <v>0.01041666667</v>
      </c>
      <c r="H117" s="192">
        <f t="shared" si="6"/>
        <v>0.003315720227</v>
      </c>
      <c r="I117" s="124">
        <f>E117/Introduction!$I$20</f>
        <v>0.2645833333</v>
      </c>
      <c r="J117" s="125">
        <f t="shared" si="7"/>
        <v>0.08421929378</v>
      </c>
      <c r="K117" s="51"/>
      <c r="L117" s="51"/>
      <c r="M117" s="51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286"/>
      <c r="AB117" s="286" t="s">
        <v>27</v>
      </c>
      <c r="AC117" s="287">
        <f>IF('Ship Data Imperial'!E118&gt;0,'Ship Data Imperial'!E118,AD117)</f>
        <v>0</v>
      </c>
      <c r="AD117" s="287">
        <f>'Ship Data Metric'!E118*0.03280839895</f>
        <v>0</v>
      </c>
      <c r="AE117" s="284">
        <f>IF(AC117&gt;0,Standing!$C$75*0.45,0)</f>
        <v>0</v>
      </c>
      <c r="AF117" s="280">
        <f>IF(AC117&gt;0,Standing!$C$75*0.33,0)</f>
        <v>0</v>
      </c>
      <c r="AG117" s="281">
        <f>IF(AC117&gt;0,Standing!$C$75*0.2,0)</f>
        <v>0</v>
      </c>
      <c r="AH117" s="282">
        <f>IF(AC117&gt;0,Standing!$C$75*0.5,0)</f>
        <v>0</v>
      </c>
      <c r="AI117" s="283">
        <f>IF(AC117&gt;0,Standing!$C$75*0.2,0)</f>
        <v>0</v>
      </c>
      <c r="AJ117" s="284">
        <f>IF(AC117&gt;0,Standing!$C$75*0.25,0)</f>
        <v>0</v>
      </c>
      <c r="AK117" s="281">
        <f>IF(AC117&gt;0,Standing!$C$81*0.8,0)</f>
        <v>0</v>
      </c>
      <c r="AL117" s="282">
        <f t="shared" si="8"/>
        <v>0</v>
      </c>
      <c r="AM117" s="283">
        <f>IF(AC117&gt;0,Standing!$C$81*0.45,0)</f>
        <v>0</v>
      </c>
      <c r="AN117" s="284">
        <f>IF(AC117&gt;0,Standing!$C$81*0.55,0)</f>
        <v>0</v>
      </c>
      <c r="AO117" s="280">
        <f>IF(AC117&gt;0,Standing!$C$81*0.36,0)</f>
        <v>0</v>
      </c>
      <c r="AP117" s="281">
        <f>IF(AC117&gt;0,Standing!$C$81*0.9,0)</f>
        <v>0</v>
      </c>
      <c r="AQ117" s="282">
        <f>IF(AC117&gt;0,Standing!$C$85*0.9,0)</f>
        <v>0</v>
      </c>
      <c r="AR117" s="283">
        <f>IF(AC117&gt;0,Standing!$C$85*0.5,0)</f>
        <v>0</v>
      </c>
      <c r="AS117" s="284">
        <f>IF(AC117&gt;0,Standing!$C$85*0.55,0)</f>
        <v>0</v>
      </c>
      <c r="AT117" s="280">
        <f>IF(AC117&gt;0,Standing!$C$85*0.66,0)</f>
        <v>0</v>
      </c>
      <c r="AU117" s="281">
        <f>IF(AC117&gt;0,Standing!$C$75*0.25,0)</f>
        <v>0</v>
      </c>
      <c r="AV117" s="282">
        <f>IF(AC117&gt;0,Standing!$C$75*0.2,0)</f>
        <v>0</v>
      </c>
      <c r="AW117" s="283">
        <f>IF(AC117&gt;0,Standing!$C$26*0.33,0)</f>
        <v>0</v>
      </c>
      <c r="AX117" s="284">
        <f>IF(AC117&gt;0,Standing!$C$26*0.2,0)</f>
        <v>0</v>
      </c>
      <c r="AY117" s="280">
        <f>IF(AC117&gt;0,Standing!$C$26*0.25,0)</f>
        <v>0</v>
      </c>
      <c r="AZ117" s="281">
        <f>IF(AC117&gt;0,Standing!$C$26*0.33,0)</f>
        <v>0</v>
      </c>
      <c r="BA117" s="282">
        <f>IF(AC117&gt;0,Standing!$C$26*0.15,0)</f>
        <v>0</v>
      </c>
      <c r="BB117" s="283">
        <f>IF(AC117&gt;0,Standing!$C$26*0.125,0)</f>
        <v>0</v>
      </c>
      <c r="BC117" s="284">
        <f>IF(AC117&gt;0,Standing!$C$32*0.33,0)</f>
        <v>0</v>
      </c>
      <c r="BD117" s="280">
        <f>IF(AC117&gt;0,Standing!$C$32*0.5,0)</f>
        <v>0</v>
      </c>
      <c r="BE117" s="281">
        <f>IF(AC117&gt;0,Standing!$C$32*0.33,0)</f>
        <v>0</v>
      </c>
      <c r="BF117" s="282">
        <f>IF(AC117&gt;0,Standing!$C$32*0.33,0)</f>
        <v>0</v>
      </c>
      <c r="BG117" s="283">
        <f>IF(AC117&gt;0,Standing!$C$32*0.3,0)</f>
        <v>0</v>
      </c>
      <c r="BH117" s="284">
        <f>IF(AC117&gt;0,Standing!$C$32*0.4,0)</f>
        <v>0</v>
      </c>
      <c r="BI117" s="280">
        <f>IF(AC117&gt;0,Standing!$C$26*0.5,0)</f>
        <v>0</v>
      </c>
      <c r="BJ117" s="281">
        <f>IF(AC117&gt;0,Standing!$C$26*0.45,0)</f>
        <v>0</v>
      </c>
      <c r="BK117" s="282">
        <f>IF(AC117&gt;0,Standing!$C$26*0.5,0)</f>
        <v>0</v>
      </c>
      <c r="BL117" s="283">
        <f>IF(AC117&gt;0,Standing!$C$32*0.66,0)</f>
        <v>0</v>
      </c>
      <c r="BM117" s="281">
        <f>IF(AC117&gt;0,Standing!$C$32*0.85,0)</f>
        <v>0</v>
      </c>
      <c r="BN117" s="284">
        <f t="shared" si="9"/>
        <v>0</v>
      </c>
      <c r="BO117" s="282">
        <f>IF(AC117&gt;0,Standing!$C$32*0.5,0)</f>
        <v>0</v>
      </c>
      <c r="BP117" s="280">
        <f>IF(AC117&gt;0,Standing!$C$32*0.45,0)</f>
        <v>0</v>
      </c>
      <c r="BQ117" s="281">
        <f>IF(AC117&gt;0,Standing!$C$32*0.66,0)</f>
        <v>0</v>
      </c>
      <c r="BR117" s="282">
        <f>IF(AC117&gt;0,Standing!$C$32*0.33,0)</f>
        <v>0</v>
      </c>
      <c r="BS117" s="283">
        <f>IF(AC117&gt;0,Standing!$C$32*0.33,0)</f>
        <v>0</v>
      </c>
      <c r="BT117" s="284">
        <f>IF(AC117&gt;0,Standing!$C$32*0.45,0)</f>
        <v>0</v>
      </c>
      <c r="BU117" s="280">
        <f>IF(AC117&gt;0,Standing!$C$36*0.9,0)</f>
        <v>0</v>
      </c>
      <c r="BV117" s="281">
        <f>IF(AC117&gt;0,Standing!$C$36*0.45,0)</f>
        <v>0</v>
      </c>
      <c r="BW117" s="282">
        <f>IF(AC117&gt;0,Standing!$C$126*0.66,0)</f>
        <v>0</v>
      </c>
      <c r="BX117" s="283">
        <f>IF(AC117&gt;0,Standing!$C$126*0.66,0)</f>
        <v>0</v>
      </c>
      <c r="BY117" s="284">
        <f>IF(AC117&gt;0,Standing!$C$126*0.4,0)</f>
        <v>0</v>
      </c>
      <c r="BZ117" s="280">
        <f>IF(AC117&gt;0,Standing!$C$126*0.33,0)</f>
        <v>0</v>
      </c>
      <c r="CA117" s="281">
        <f>IF(AC117&gt;0,Standing!$C$132,0)</f>
        <v>0</v>
      </c>
      <c r="CB117" s="282">
        <f>IF(AC117&gt;0,Standing!$C$132*0.66,0)</f>
        <v>0</v>
      </c>
      <c r="CC117" s="283">
        <f>IF(AC117&gt;0,Standing!$C$132*0.5,0)</f>
        <v>0</v>
      </c>
      <c r="CD117" s="284">
        <f>IF(AC117&gt;0,Standing!$C$132*0.5,0)</f>
        <v>0</v>
      </c>
      <c r="CE117" s="280">
        <f>IF(AC117&gt;0,Standing!$C$132*0.5,0)</f>
        <v>0</v>
      </c>
      <c r="CF117" s="281">
        <f>IF(AC117&gt;0,Standing!$C$132*0.66,0)</f>
        <v>0</v>
      </c>
      <c r="CG117" s="282">
        <f>IF(AC117&gt;0,Standing!$C$132*0.5,0)</f>
        <v>0</v>
      </c>
      <c r="CH117" s="283">
        <f>IF(AC117&gt;0,Standing!$C$132*0.5,0)</f>
        <v>0</v>
      </c>
      <c r="CI117" s="284">
        <f>IF(AC117&gt;0,Standing!$C$132*0.5,0)</f>
        <v>0</v>
      </c>
      <c r="CJ117" s="280">
        <f>IF(AC117&gt;0,Standing!$C$132*0.5,0)</f>
        <v>0</v>
      </c>
      <c r="CK117" s="281">
        <f>IF(AC117&gt;0,Standing!$C$126*0.55,0)</f>
        <v>0</v>
      </c>
      <c r="CL117" s="282">
        <f>IF(AC117&gt;0,Standing!$C$126*0.75,0)</f>
        <v>0</v>
      </c>
      <c r="CM117" s="283">
        <f>IF(AC117&gt;0,Standing!$C$126*0.7,0)</f>
        <v>0</v>
      </c>
      <c r="CN117" s="284">
        <f>IF(AC117&gt;0,Standing!$C$126*0.33,0)</f>
        <v>0</v>
      </c>
      <c r="CO117" s="280">
        <f>IF(AC117&gt;0,Standing!$C$126*0.4,0)</f>
        <v>0</v>
      </c>
      <c r="CP117" s="281">
        <f>IF(AC117&gt;0,Standing!$C$26*0.33,0)</f>
        <v>0</v>
      </c>
      <c r="CQ117" s="282">
        <f>IF(AC117&gt;0,Standing!$C$26*0.2,0)</f>
        <v>0</v>
      </c>
      <c r="CR117" s="283">
        <f>IF(AC117&gt;0,Standing!$C$26*0.25,0)</f>
        <v>0</v>
      </c>
      <c r="CS117" s="285">
        <f>IF(AC117&gt;0,Standing!$C$26*0.2,0)</f>
        <v>0</v>
      </c>
      <c r="CT117" s="286"/>
      <c r="CU117" s="286" t="s">
        <v>27</v>
      </c>
    </row>
    <row r="118" ht="15.75" customHeight="1">
      <c r="A118" s="51"/>
      <c r="B118" s="299" t="s">
        <v>573</v>
      </c>
      <c r="C118" s="189">
        <f>IF(Standing!$C$36*0.4&gt;1,Standing!$C$36*0.4,1)</f>
        <v>1</v>
      </c>
      <c r="D118" s="218">
        <f t="shared" si="3"/>
        <v>0.3183091418</v>
      </c>
      <c r="E118" s="190">
        <f t="shared" si="4"/>
        <v>25.4</v>
      </c>
      <c r="F118" s="122">
        <f t="shared" si="5"/>
        <v>8.085052203</v>
      </c>
      <c r="G118" s="123">
        <f>C118/Introduction!$I$20</f>
        <v>0.01041666667</v>
      </c>
      <c r="H118" s="192">
        <f t="shared" si="6"/>
        <v>0.003315720227</v>
      </c>
      <c r="I118" s="124">
        <f>E118/Introduction!$I$20</f>
        <v>0.2645833333</v>
      </c>
      <c r="J118" s="125">
        <f t="shared" si="7"/>
        <v>0.08421929378</v>
      </c>
      <c r="K118" s="51"/>
      <c r="L118" s="51"/>
      <c r="M118" s="51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286"/>
      <c r="AB118" s="286" t="s">
        <v>28</v>
      </c>
      <c r="AC118" s="287">
        <f>IF('Ship Data Imperial'!E119&gt;0,'Ship Data Imperial'!E119,AD118)</f>
        <v>0</v>
      </c>
      <c r="AD118" s="287">
        <f>'Ship Data Metric'!E119*0.03280839895</f>
        <v>0</v>
      </c>
      <c r="AE118" s="284">
        <f>IF(AC118&gt;0,Standing!$C$75*0.65,0)</f>
        <v>0</v>
      </c>
      <c r="AF118" s="280">
        <f>IF(AC118&gt;0,Standing!$C$75*0.33,0)</f>
        <v>0</v>
      </c>
      <c r="AG118" s="281">
        <f>IF(AC118&gt;0,Standing!$C$75*0.2,0)</f>
        <v>0</v>
      </c>
      <c r="AH118" s="282">
        <f>IF(AC118&gt;0,Standing!$C$75*0.5,0)</f>
        <v>0</v>
      </c>
      <c r="AI118" s="283">
        <f>IF(AC118&gt;0,Standing!$C$75*0.2,0)</f>
        <v>0</v>
      </c>
      <c r="AJ118" s="284">
        <f>IF(AC118&gt;0,Standing!$C$75*0.25,0)</f>
        <v>0</v>
      </c>
      <c r="AK118" s="281">
        <f>IF(AC118&gt;0,Standing!$C$81*0.8,0)</f>
        <v>0</v>
      </c>
      <c r="AL118" s="282">
        <f t="shared" si="8"/>
        <v>0</v>
      </c>
      <c r="AM118" s="283">
        <f>IF(AC118&gt;0,Standing!$C$81*0.45,0)</f>
        <v>0</v>
      </c>
      <c r="AN118" s="284">
        <f>IF(AC118&gt;0,Standing!$C$81*0.55,0)</f>
        <v>0</v>
      </c>
      <c r="AO118" s="280">
        <f>IF(AC118&gt;0,Standing!$C$81*0.36,0)</f>
        <v>0</v>
      </c>
      <c r="AP118" s="281">
        <f>IF(AC118&gt;0,Standing!$C$81*0.9,0)</f>
        <v>0</v>
      </c>
      <c r="AQ118" s="282">
        <f>IF(AC118&gt;0,Standing!$C$85*0.9,0)</f>
        <v>0</v>
      </c>
      <c r="AR118" s="283">
        <f>IF(AC118&gt;0,Standing!$C$85*0.5,0)</f>
        <v>0</v>
      </c>
      <c r="AS118" s="284">
        <f>IF(AC118&gt;0,Standing!$C$85*0.55,0)</f>
        <v>0</v>
      </c>
      <c r="AT118" s="280">
        <f>IF(AC118&gt;0,Standing!$C$85*0.66,0)</f>
        <v>0</v>
      </c>
      <c r="AU118" s="281">
        <f>IF(AC118&gt;0,Standing!$C$75*0.25,0)</f>
        <v>0</v>
      </c>
      <c r="AV118" s="282">
        <f>IF(AC118&gt;0,Standing!$C$75*0.2,0)</f>
        <v>0</v>
      </c>
      <c r="AW118" s="283">
        <f>IF(AC118&gt;0,Standing!$C$26*0.33,0)</f>
        <v>0</v>
      </c>
      <c r="AX118" s="284">
        <f>IF(AC118&gt;0,Standing!$C$26*0.2,0)</f>
        <v>0</v>
      </c>
      <c r="AY118" s="280">
        <f>IF(AC118&gt;0,Standing!$C$26*0.25,0)</f>
        <v>0</v>
      </c>
      <c r="AZ118" s="281">
        <f>IF(AC118&gt;0,Standing!$C$26*0.33,0)</f>
        <v>0</v>
      </c>
      <c r="BA118" s="282">
        <f>IF(AC118&gt;0,Standing!$C$26*0.15,0)</f>
        <v>0</v>
      </c>
      <c r="BB118" s="283">
        <f>IF(AC118&gt;0,Standing!$C$26*0.125,0)</f>
        <v>0</v>
      </c>
      <c r="BC118" s="284">
        <f>IF(AC118&gt;0,Standing!$C$32*0.33,0)</f>
        <v>0</v>
      </c>
      <c r="BD118" s="280">
        <f>IF(AC118&gt;0,Standing!$C$32*0.5,0)</f>
        <v>0</v>
      </c>
      <c r="BE118" s="281">
        <f>IF(AC118&gt;0,Standing!$C$32*0.33,0)</f>
        <v>0</v>
      </c>
      <c r="BF118" s="282">
        <f>IF(AC118&gt;0,Standing!$C$32*0.33,0)</f>
        <v>0</v>
      </c>
      <c r="BG118" s="283">
        <f>IF(AC118&gt;0,Standing!$C$32*0.3,0)</f>
        <v>0</v>
      </c>
      <c r="BH118" s="284">
        <f>IF(AC118&gt;0,Standing!$C$32*0.4,0)</f>
        <v>0</v>
      </c>
      <c r="BI118" s="280">
        <f>IF(AC118&gt;0,Standing!$C$26*0.75,0)</f>
        <v>0</v>
      </c>
      <c r="BJ118" s="281">
        <f>IF(AC118&gt;0,Standing!$C$26*0.65,0)</f>
        <v>0</v>
      </c>
      <c r="BK118" s="282">
        <f>IF(AC118&gt;0,Standing!$C$26*0.5,0)</f>
        <v>0</v>
      </c>
      <c r="BL118" s="283">
        <f>IF(AC118&gt;0,Standing!$C$32*0.66,0)</f>
        <v>0</v>
      </c>
      <c r="BM118" s="281">
        <f>IF(AC118&gt;0,Standing!$C$32*0.85,0)</f>
        <v>0</v>
      </c>
      <c r="BN118" s="284">
        <f t="shared" si="9"/>
        <v>0</v>
      </c>
      <c r="BO118" s="282">
        <f>IF(AC118&gt;0,Standing!$C$32*0.45,0)</f>
        <v>0</v>
      </c>
      <c r="BP118" s="280">
        <f>IF(AC118&gt;0,Standing!$C$32*0.45,0)</f>
        <v>0</v>
      </c>
      <c r="BQ118" s="281">
        <f>IF(AC118&gt;0,Standing!$C$32*0.66,0)</f>
        <v>0</v>
      </c>
      <c r="BR118" s="282">
        <f>IF(AC118&gt;0,Standing!$C$32*0.33,0)</f>
        <v>0</v>
      </c>
      <c r="BS118" s="283">
        <f>IF(AC118&gt;0,Standing!$C$32*0.33,0)</f>
        <v>0</v>
      </c>
      <c r="BT118" s="284">
        <f>IF(AC118&gt;0,Standing!$C$32*0.45,0)</f>
        <v>0</v>
      </c>
      <c r="BU118" s="280">
        <f>IF(AC118&gt;0,Standing!$C$36*0.9,0)</f>
        <v>0</v>
      </c>
      <c r="BV118" s="281">
        <f>IF(AC118&gt;0,Standing!$C$36*0.45,0)</f>
        <v>0</v>
      </c>
      <c r="BW118" s="282">
        <f>IF(AC118&gt;0,Standing!$C$126*0.66,0)</f>
        <v>0</v>
      </c>
      <c r="BX118" s="283">
        <f>IF(AC118&gt;0,Standing!$C$126*0.66,0)</f>
        <v>0</v>
      </c>
      <c r="BY118" s="284">
        <f>IF(AC118&gt;0,Standing!$C$126*0.4,0)</f>
        <v>0</v>
      </c>
      <c r="BZ118" s="280">
        <f>IF(AC118&gt;0,Standing!$C$126*0.33,0)</f>
        <v>0</v>
      </c>
      <c r="CA118" s="281">
        <f>IF(AC118&gt;0,Standing!$C$132,0)</f>
        <v>0</v>
      </c>
      <c r="CB118" s="282">
        <f>IF(AC118&gt;0,Standing!$C$132*0.66,0)</f>
        <v>0</v>
      </c>
      <c r="CC118" s="283">
        <f>IF(AC118&gt;0,Standing!$C$132*0.5,0)</f>
        <v>0</v>
      </c>
      <c r="CD118" s="284">
        <f>IF(AC118&gt;0,Standing!$C$132*0.5,0)</f>
        <v>0</v>
      </c>
      <c r="CE118" s="280">
        <f>IF(AC118&gt;0,Standing!$C$132*0.5,0)</f>
        <v>0</v>
      </c>
      <c r="CF118" s="281">
        <f>IF(AC118&gt;0,Standing!$C$132*0.66,0)</f>
        <v>0</v>
      </c>
      <c r="CG118" s="282">
        <f>IF(AC118&gt;0,Standing!$C$132*0.5,0)</f>
        <v>0</v>
      </c>
      <c r="CH118" s="283">
        <f>IF(AC118&gt;0,Standing!$C$132*0.5,0)</f>
        <v>0</v>
      </c>
      <c r="CI118" s="284">
        <f>IF(AC118&gt;0,Standing!$C$132*0.5,0)</f>
        <v>0</v>
      </c>
      <c r="CJ118" s="280">
        <f>IF(AC118&gt;0,Standing!$C$132*0.5,0)</f>
        <v>0</v>
      </c>
      <c r="CK118" s="281">
        <f>IF(AC118&gt;0,Standing!$C$126*0.55,0)</f>
        <v>0</v>
      </c>
      <c r="CL118" s="282">
        <f>IF(AC118&gt;0,Standing!$C$126*0.75,0)</f>
        <v>0</v>
      </c>
      <c r="CM118" s="283">
        <f>IF(AC118&gt;0,Standing!$C$126*0.7,0)</f>
        <v>0</v>
      </c>
      <c r="CN118" s="284">
        <f>IF(AC118&gt;0,Standing!$C$126*0.33,0)</f>
        <v>0</v>
      </c>
      <c r="CO118" s="280">
        <f>IF(AC118&gt;0,Standing!$C$126*0.4,0)</f>
        <v>0</v>
      </c>
      <c r="CP118" s="281">
        <f>IF(AC118&gt;0,Standing!$C$26*0.33,0)</f>
        <v>0</v>
      </c>
      <c r="CQ118" s="282">
        <f>IF(AC118&gt;0,Standing!$C$26*0.2,0)</f>
        <v>0</v>
      </c>
      <c r="CR118" s="283">
        <f>IF(AC118&gt;0,Standing!$C$26*0.25,0)</f>
        <v>0</v>
      </c>
      <c r="CS118" s="285">
        <f>IF(AC118&gt;0,Standing!$C$26*0.2,0)</f>
        <v>0</v>
      </c>
      <c r="CT118" s="286"/>
      <c r="CU118" s="286" t="s">
        <v>28</v>
      </c>
    </row>
    <row r="119" ht="15.75" customHeight="1">
      <c r="A119" s="51"/>
      <c r="B119" s="299" t="s">
        <v>574</v>
      </c>
      <c r="C119" s="189">
        <f>IF(Standing!$C$36*0.33&gt;1,Standing!$C$36*0.33,1)</f>
        <v>1</v>
      </c>
      <c r="D119" s="218">
        <f t="shared" si="3"/>
        <v>0.3183091418</v>
      </c>
      <c r="E119" s="190">
        <f t="shared" si="4"/>
        <v>25.4</v>
      </c>
      <c r="F119" s="122">
        <f t="shared" si="5"/>
        <v>8.085052203</v>
      </c>
      <c r="G119" s="123">
        <f>C119/Introduction!$I$20</f>
        <v>0.01041666667</v>
      </c>
      <c r="H119" s="192">
        <f t="shared" si="6"/>
        <v>0.003315720227</v>
      </c>
      <c r="I119" s="124">
        <f>E119/Introduction!$I$20</f>
        <v>0.2645833333</v>
      </c>
      <c r="J119" s="125">
        <f t="shared" si="7"/>
        <v>0.08421929378</v>
      </c>
      <c r="K119" s="51"/>
      <c r="L119" s="51"/>
      <c r="M119" s="51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286"/>
      <c r="AB119" s="286" t="s">
        <v>29</v>
      </c>
      <c r="AC119" s="287">
        <f>IF('Ship Data Imperial'!E120&gt;0,'Ship Data Imperial'!E120,AD119)</f>
        <v>0</v>
      </c>
      <c r="AD119" s="287">
        <f>'Ship Data Metric'!E120*0.03280839895</f>
        <v>0</v>
      </c>
      <c r="AE119" s="284">
        <f>IF(AC119&gt;0,Standing!$C$75*0.65,0)</f>
        <v>0</v>
      </c>
      <c r="AF119" s="280">
        <f>IF(AC119&gt;0,Standing!$C$75*0.33,0)</f>
        <v>0</v>
      </c>
      <c r="AG119" s="281">
        <f>IF(AC119&gt;0,Standing!$C$75*0.2,0)</f>
        <v>0</v>
      </c>
      <c r="AH119" s="282">
        <f>IF(AC119&gt;0,Standing!$C$75*0.5,0)</f>
        <v>0</v>
      </c>
      <c r="AI119" s="283">
        <f>IF(AC119&gt;0,Standing!$C$75*0.2,0)</f>
        <v>0</v>
      </c>
      <c r="AJ119" s="284">
        <f>IF(AC119&gt;0,Standing!$C$75*0.25,0)</f>
        <v>0</v>
      </c>
      <c r="AK119" s="281">
        <f>IF(AC119&gt;0,Standing!$C$81*0.8,0)</f>
        <v>0</v>
      </c>
      <c r="AL119" s="282">
        <f t="shared" si="8"/>
        <v>0</v>
      </c>
      <c r="AM119" s="283">
        <f>IF(AC119&gt;0,Standing!$C$81*0.45,0)</f>
        <v>0</v>
      </c>
      <c r="AN119" s="284">
        <f>IF(AC119&gt;0,Standing!$C$81*0.55,0)</f>
        <v>0</v>
      </c>
      <c r="AO119" s="280">
        <f>IF(AC119&gt;0,Standing!$C$81*0.36,0)</f>
        <v>0</v>
      </c>
      <c r="AP119" s="281">
        <f>IF(AC119&gt;0,Standing!$C$81*0.9,0)</f>
        <v>0</v>
      </c>
      <c r="AQ119" s="282">
        <f>IF(AC119&gt;0,Standing!$C$85*0.9,0)</f>
        <v>0</v>
      </c>
      <c r="AR119" s="283">
        <f>IF(AC119&gt;0,Standing!$C$85*0.5,0)</f>
        <v>0</v>
      </c>
      <c r="AS119" s="284">
        <f>IF(AC119&gt;0,Standing!$C$85*0.55,0)</f>
        <v>0</v>
      </c>
      <c r="AT119" s="280">
        <f>IF(AC119&gt;0,Standing!$C$85*0.66,0)</f>
        <v>0</v>
      </c>
      <c r="AU119" s="281">
        <f>IF(AC119&gt;0,Standing!$C$75*0.25,0)</f>
        <v>0</v>
      </c>
      <c r="AV119" s="282">
        <f>IF(AC119&gt;0,Standing!$C$75*0.2,0)</f>
        <v>0</v>
      </c>
      <c r="AW119" s="283">
        <f>IF(AC119&gt;0,Standing!$C$26*0.33,0)</f>
        <v>0</v>
      </c>
      <c r="AX119" s="284">
        <f>IF(AC119&gt;0,Standing!$C$26*0.2,0)</f>
        <v>0</v>
      </c>
      <c r="AY119" s="280">
        <f>IF(AC119&gt;0,Standing!$C$26*0.25,0)</f>
        <v>0</v>
      </c>
      <c r="AZ119" s="281">
        <f>IF(AC119&gt;0,Standing!$C$26*0.33,0)</f>
        <v>0</v>
      </c>
      <c r="BA119" s="282">
        <f>IF(AC119&gt;0,Standing!$C$26*0.15,0)</f>
        <v>0</v>
      </c>
      <c r="BB119" s="283">
        <f>IF(AC119&gt;0,Standing!$C$26*0.125,0)</f>
        <v>0</v>
      </c>
      <c r="BC119" s="284">
        <f>IF(AC119&gt;0,Standing!$C$32*0.33,0)</f>
        <v>0</v>
      </c>
      <c r="BD119" s="280">
        <f>IF(AC119&gt;0,Standing!$C$32*0.5,0)</f>
        <v>0</v>
      </c>
      <c r="BE119" s="281">
        <f>IF(AC119&gt;0,Standing!$C$32*0.33,0)</f>
        <v>0</v>
      </c>
      <c r="BF119" s="282">
        <f>IF(AC119&gt;0,Standing!$C$32*0.33,0)</f>
        <v>0</v>
      </c>
      <c r="BG119" s="283">
        <f>IF(AC119&gt;0,Standing!$C$32*0.3,0)</f>
        <v>0</v>
      </c>
      <c r="BH119" s="284">
        <f>IF(AC119&gt;0,Standing!$C$32*0.4,0)</f>
        <v>0</v>
      </c>
      <c r="BI119" s="280">
        <f>IF(AC119&gt;0,Standing!$C$26*0.75,0)</f>
        <v>0</v>
      </c>
      <c r="BJ119" s="281">
        <f>IF(AC119&gt;0,Standing!$C$26*0.65,0)</f>
        <v>0</v>
      </c>
      <c r="BK119" s="282">
        <f>IF(AC119&gt;0,Standing!$C$26*0.5,0)</f>
        <v>0</v>
      </c>
      <c r="BL119" s="283">
        <f>IF(AC119&gt;0,Standing!$C$32*0.66,0)</f>
        <v>0</v>
      </c>
      <c r="BM119" s="281">
        <f>IF(AC119&gt;0,Standing!$C$32*0.85,0)</f>
        <v>0</v>
      </c>
      <c r="BN119" s="284">
        <f t="shared" si="9"/>
        <v>0</v>
      </c>
      <c r="BO119" s="282">
        <f>IF(AC119&gt;0,Standing!$C$32*0.45,0)</f>
        <v>0</v>
      </c>
      <c r="BP119" s="280">
        <f>IF(AC119&gt;0,Standing!$C$32*0.45,0)</f>
        <v>0</v>
      </c>
      <c r="BQ119" s="281">
        <f>IF(AC119&gt;0,Standing!$C$32*0.66,0)</f>
        <v>0</v>
      </c>
      <c r="BR119" s="282">
        <f>IF(AC119&gt;0,Standing!$C$32*0.33,0)</f>
        <v>0</v>
      </c>
      <c r="BS119" s="283">
        <f>IF(AC119&gt;0,Standing!$C$32*0.375,0)</f>
        <v>0</v>
      </c>
      <c r="BT119" s="284">
        <f>IF(AC119&gt;0,Standing!$C$32*0.45,0)</f>
        <v>0</v>
      </c>
      <c r="BU119" s="280">
        <f>IF(AC119&gt;0,Standing!$C$36*0.9,0)</f>
        <v>0</v>
      </c>
      <c r="BV119" s="281">
        <f>IF(AC119&gt;0,Standing!$C$36*0.45,0)</f>
        <v>0</v>
      </c>
      <c r="BW119" s="282">
        <f>IF(AC119&gt;0,Standing!$C$126*0.66,0)</f>
        <v>0</v>
      </c>
      <c r="BX119" s="283">
        <f>IF(AC119&gt;0,Standing!$C$126*0.66,0)</f>
        <v>0</v>
      </c>
      <c r="BY119" s="284">
        <f>IF(AC119&gt;0,Standing!$C$126*0.4,0)</f>
        <v>0</v>
      </c>
      <c r="BZ119" s="280">
        <f>IF(AC119&gt;0,Standing!$C$126*0.33,0)</f>
        <v>0</v>
      </c>
      <c r="CA119" s="281">
        <f>IF(AC119&gt;0,Standing!$C$132,0)</f>
        <v>0</v>
      </c>
      <c r="CB119" s="282">
        <f>IF(AC119&gt;0,Standing!$C$132*0.66,0)</f>
        <v>0</v>
      </c>
      <c r="CC119" s="283">
        <f>IF(AC119&gt;0,Standing!$C$132*0.5,0)</f>
        <v>0</v>
      </c>
      <c r="CD119" s="284">
        <f>IF(AC119&gt;0,Standing!$C$132*0.5,0)</f>
        <v>0</v>
      </c>
      <c r="CE119" s="280">
        <f>IF(AC119&gt;0,Standing!$C$132*0.5,0)</f>
        <v>0</v>
      </c>
      <c r="CF119" s="281">
        <f>IF(AC119&gt;0,Standing!$C$132*0.66,0)</f>
        <v>0</v>
      </c>
      <c r="CG119" s="282">
        <f>IF(AC119&gt;0,Standing!$C$132*0.5,0)</f>
        <v>0</v>
      </c>
      <c r="CH119" s="283">
        <f>IF(AC119&gt;0,Standing!$C$132*0.5,0)</f>
        <v>0</v>
      </c>
      <c r="CI119" s="284">
        <f>IF(AC119&gt;0,Standing!$C$132*0.5,0)</f>
        <v>0</v>
      </c>
      <c r="CJ119" s="280">
        <f>IF(AC119&gt;0,Standing!$C$132*0.5,0)</f>
        <v>0</v>
      </c>
      <c r="CK119" s="281">
        <f>IF(AC119&gt;0,Standing!$C$126*0.55,0)</f>
        <v>0</v>
      </c>
      <c r="CL119" s="282">
        <f>IF(AC119&gt;0,Standing!$C$126*0.75,0)</f>
        <v>0</v>
      </c>
      <c r="CM119" s="283">
        <f>IF(AC119&gt;0,Standing!$C$126*0.7,0)</f>
        <v>0</v>
      </c>
      <c r="CN119" s="284">
        <f>IF(AC119&gt;0,Standing!$C$126*0.33,0)</f>
        <v>0</v>
      </c>
      <c r="CO119" s="280">
        <f>IF(AC119&gt;0,Standing!$C$126*0.4,0)</f>
        <v>0</v>
      </c>
      <c r="CP119" s="281">
        <f>IF(AC119&gt;0,Standing!$C$26*0.33,0)</f>
        <v>0</v>
      </c>
      <c r="CQ119" s="282">
        <f>IF(AC119&gt;0,Standing!$C$26*0.2,0)</f>
        <v>0</v>
      </c>
      <c r="CR119" s="283">
        <f>IF(AC119&gt;0,Standing!$C$26*0.25,0)</f>
        <v>0</v>
      </c>
      <c r="CS119" s="285">
        <f>IF(AC119&gt;0,Standing!$C$26*0.2,0)</f>
        <v>0</v>
      </c>
      <c r="CT119" s="286"/>
      <c r="CU119" s="286" t="s">
        <v>29</v>
      </c>
    </row>
    <row r="120" ht="15.75" customHeight="1">
      <c r="A120" s="51"/>
      <c r="B120" s="293" t="s">
        <v>575</v>
      </c>
      <c r="C120" s="189">
        <f>Standing!$C$37</f>
        <v>2</v>
      </c>
      <c r="D120" s="218">
        <f t="shared" si="3"/>
        <v>0.6366182837</v>
      </c>
      <c r="E120" s="190">
        <f t="shared" si="4"/>
        <v>50.8</v>
      </c>
      <c r="F120" s="122">
        <f t="shared" si="5"/>
        <v>16.17010441</v>
      </c>
      <c r="G120" s="123">
        <f>C120/Introduction!$I$20</f>
        <v>0.02083333333</v>
      </c>
      <c r="H120" s="192">
        <f t="shared" si="6"/>
        <v>0.006631440455</v>
      </c>
      <c r="I120" s="124">
        <f>E120/Introduction!$I$20</f>
        <v>0.5291666667</v>
      </c>
      <c r="J120" s="125">
        <f t="shared" si="7"/>
        <v>0.1684385876</v>
      </c>
      <c r="K120" s="51"/>
      <c r="L120" s="51"/>
      <c r="M120" s="51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286"/>
      <c r="AB120" s="158" t="s">
        <v>54</v>
      </c>
      <c r="AC120" s="287">
        <f>IF('Ship Data Imperial'!E121&gt;0,'Ship Data Imperial'!E121,AD120)</f>
        <v>0</v>
      </c>
      <c r="AD120" s="287">
        <f>'Ship Data Metric'!E121*0.03280839895</f>
        <v>0</v>
      </c>
      <c r="AE120" s="284">
        <f>IF(AC120&gt;0,Standing!$C$75*0.65,0)</f>
        <v>0</v>
      </c>
      <c r="AF120" s="280">
        <f>IF(AC120&gt;0,Standing!$C$75*0.33,0)</f>
        <v>0</v>
      </c>
      <c r="AG120" s="281">
        <f>IF(AC120&gt;0,Standing!$C$75*0.2,0)</f>
        <v>0</v>
      </c>
      <c r="AH120" s="282">
        <f>IF(AC120&gt;0,Standing!$C$75*0.5,0)</f>
        <v>0</v>
      </c>
      <c r="AI120" s="283">
        <f>IF(AC120&gt;0,Standing!$C$75*0.2,0)</f>
        <v>0</v>
      </c>
      <c r="AJ120" s="284">
        <f>IF(AC120&gt;0,Standing!$C$75*0.25,0)</f>
        <v>0</v>
      </c>
      <c r="AK120" s="281">
        <f>IF(AC120&gt;0,Standing!$C$81*0.8,0)</f>
        <v>0</v>
      </c>
      <c r="AL120" s="282">
        <f t="shared" si="8"/>
        <v>0</v>
      </c>
      <c r="AM120" s="283">
        <f>IF(AC120&gt;0,Standing!$C$81*0.45,0)</f>
        <v>0</v>
      </c>
      <c r="AN120" s="284">
        <f>IF(AC120&gt;0,Standing!$C$81*0.55,0)</f>
        <v>0</v>
      </c>
      <c r="AO120" s="280">
        <f>IF(AC120&gt;0,Standing!$C$81*0.36,0)</f>
        <v>0</v>
      </c>
      <c r="AP120" s="281">
        <f>IF(AC120&gt;0,Standing!$C$81*0.9,0)</f>
        <v>0</v>
      </c>
      <c r="AQ120" s="282">
        <f>IF(AC120&gt;0,Standing!$C$85*0.9,0)</f>
        <v>0</v>
      </c>
      <c r="AR120" s="283">
        <f>IF(AC120&gt;0,Standing!$C$85*0.5,0)</f>
        <v>0</v>
      </c>
      <c r="AS120" s="284">
        <f>IF(AC120&gt;0,Standing!$C$85*0.55,0)</f>
        <v>0</v>
      </c>
      <c r="AT120" s="280">
        <f>IF(AC120&gt;0,Standing!$C$85*0.66,0)</f>
        <v>0</v>
      </c>
      <c r="AU120" s="281">
        <f>IF(AC120&gt;0,Standing!$C$75*0.25,0)</f>
        <v>0</v>
      </c>
      <c r="AV120" s="282">
        <f>IF(AC120&gt;0,Standing!$C$75*0.2,0)</f>
        <v>0</v>
      </c>
      <c r="AW120" s="283">
        <f>IF(AC120&gt;0,Standing!$C$26*0.33,0)</f>
        <v>0</v>
      </c>
      <c r="AX120" s="284">
        <f>IF(AC120&gt;0,Standing!$C$26*0.2,0)</f>
        <v>0</v>
      </c>
      <c r="AY120" s="280">
        <f>IF(AC120&gt;0,Standing!$C$26*0.25,0)</f>
        <v>0</v>
      </c>
      <c r="AZ120" s="281">
        <f>IF(AC120&gt;0,Standing!$C$26*0.33,0)</f>
        <v>0</v>
      </c>
      <c r="BA120" s="282">
        <f>IF(AC120&gt;0,Standing!$C$26*0.15,0)</f>
        <v>0</v>
      </c>
      <c r="BB120" s="283">
        <f>IF(AC120&gt;0,Standing!$C$26*0.125,0)</f>
        <v>0</v>
      </c>
      <c r="BC120" s="284">
        <f>IF(AC120&gt;0,Standing!$C$32*0.33,0)</f>
        <v>0</v>
      </c>
      <c r="BD120" s="280">
        <f>IF(AC120&gt;0,Standing!$C$32*0.5,0)</f>
        <v>0</v>
      </c>
      <c r="BE120" s="281">
        <f>IF(AC120&gt;0,Standing!$C$32*0.33,0)</f>
        <v>0</v>
      </c>
      <c r="BF120" s="282">
        <f>IF(AC120&gt;0,Standing!$C$32*0.33,0)</f>
        <v>0</v>
      </c>
      <c r="BG120" s="283">
        <f>IF(AC120&gt;0,Standing!$C$32*0.3,0)</f>
        <v>0</v>
      </c>
      <c r="BH120" s="284">
        <f>IF(AC120&gt;0,Standing!$C$32*0.4,0)</f>
        <v>0</v>
      </c>
      <c r="BI120" s="280">
        <f>IF(AC120&gt;0,Standing!$C$26*0.75,0)</f>
        <v>0</v>
      </c>
      <c r="BJ120" s="281">
        <f>IF(AC120&gt;0,Standing!$C$26*0.65,0)</f>
        <v>0</v>
      </c>
      <c r="BK120" s="282">
        <f>IF(AC120&gt;0,Standing!$C$26*0.5,0)</f>
        <v>0</v>
      </c>
      <c r="BL120" s="283">
        <f>IF(AC120&gt;0,Standing!$C$32*0.66,0)</f>
        <v>0</v>
      </c>
      <c r="BM120" s="281">
        <f>IF(AC120&gt;0,Standing!$C$32*0.85,0)</f>
        <v>0</v>
      </c>
      <c r="BN120" s="284">
        <f t="shared" si="9"/>
        <v>0</v>
      </c>
      <c r="BO120" s="282">
        <f>IF(AC120&gt;0,Standing!$C$32*0.45,0)</f>
        <v>0</v>
      </c>
      <c r="BP120" s="280">
        <f>IF(AC120&gt;0,Standing!$C$32*0.45,0)</f>
        <v>0</v>
      </c>
      <c r="BQ120" s="281">
        <f>IF(AC120&gt;0,Standing!$C$32*0.66,0)</f>
        <v>0</v>
      </c>
      <c r="BR120" s="282">
        <f>IF(AC120&gt;0,Standing!$C$32*0.33,0)</f>
        <v>0</v>
      </c>
      <c r="BS120" s="283">
        <f>IF(AC120&gt;0,Standing!$C$32*0.375,0)</f>
        <v>0</v>
      </c>
      <c r="BT120" s="284">
        <f>IF(AC120&gt;0,Standing!$C$32*0.45,0)</f>
        <v>0</v>
      </c>
      <c r="BU120" s="280">
        <f>IF(AC120&gt;0,Standing!$C$36*0.9,0)</f>
        <v>0</v>
      </c>
      <c r="BV120" s="281">
        <f>IF(AC120&gt;0,Standing!$C$36*0.45,0)</f>
        <v>0</v>
      </c>
      <c r="BW120" s="282">
        <f>IF(AC120&gt;0,Standing!$C$126*0.66,0)</f>
        <v>0</v>
      </c>
      <c r="BX120" s="283">
        <f>IF(AC120&gt;0,Standing!$C$126*0.66,0)</f>
        <v>0</v>
      </c>
      <c r="BY120" s="284">
        <f>IF(AC120&gt;0,Standing!$C$126*0.4,0)</f>
        <v>0</v>
      </c>
      <c r="BZ120" s="280">
        <f>IF(AC120&gt;0,Standing!$C$126*0.33,0)</f>
        <v>0</v>
      </c>
      <c r="CA120" s="281">
        <f>IF(AC120&gt;0,Standing!$C$132,0)</f>
        <v>0</v>
      </c>
      <c r="CB120" s="282">
        <f>IF(AC120&gt;0,Standing!$C$132*0.66,0)</f>
        <v>0</v>
      </c>
      <c r="CC120" s="283">
        <f>IF(AC120&gt;0,Standing!$C$132*0.5,0)</f>
        <v>0</v>
      </c>
      <c r="CD120" s="284">
        <f>IF(AC120&gt;0,Standing!$C$132*0.5,0)</f>
        <v>0</v>
      </c>
      <c r="CE120" s="280">
        <f>IF(AC120&gt;0,Standing!$C$132*0.5,0)</f>
        <v>0</v>
      </c>
      <c r="CF120" s="281">
        <f>IF(AC120&gt;0,Standing!$C$132*0.66,0)</f>
        <v>0</v>
      </c>
      <c r="CG120" s="282">
        <f>IF(AC120&gt;0,Standing!$C$132*0.5,0)</f>
        <v>0</v>
      </c>
      <c r="CH120" s="283">
        <f>IF(AC120&gt;0,Standing!$C$132*0.5,0)</f>
        <v>0</v>
      </c>
      <c r="CI120" s="284">
        <f>IF(AC120&gt;0,Standing!$C$132*0.5,0)</f>
        <v>0</v>
      </c>
      <c r="CJ120" s="280">
        <f>IF(AC120&gt;0,Standing!$C$132*0.5,0)</f>
        <v>0</v>
      </c>
      <c r="CK120" s="281">
        <f>IF(AC120&gt;0,Standing!$C$126*0.55,0)</f>
        <v>0</v>
      </c>
      <c r="CL120" s="282">
        <f>IF(AC120&gt;0,Standing!$C$126*0.75,0)</f>
        <v>0</v>
      </c>
      <c r="CM120" s="283">
        <f>IF(AC120&gt;0,Standing!$C$126*0.7,0)</f>
        <v>0</v>
      </c>
      <c r="CN120" s="284">
        <f>IF(AC120&gt;0,Standing!$C$126*0.33,0)</f>
        <v>0</v>
      </c>
      <c r="CO120" s="280">
        <f>IF(AC120&gt;0,Standing!$C$126*0.4,0)</f>
        <v>0</v>
      </c>
      <c r="CP120" s="281">
        <f>IF(AC120&gt;0,Standing!$C$26*0.33,0)</f>
        <v>0</v>
      </c>
      <c r="CQ120" s="282">
        <f>IF(AC120&gt;0,Standing!$C$26*0.2,0)</f>
        <v>0</v>
      </c>
      <c r="CR120" s="283">
        <f>IF(AC120&gt;0,Standing!$C$26*0.25,0)</f>
        <v>0</v>
      </c>
      <c r="CS120" s="285">
        <f>IF(AC120&gt;0,Standing!$C$26*0.2,0)</f>
        <v>0</v>
      </c>
      <c r="CT120" s="286"/>
      <c r="CU120" s="158" t="s">
        <v>54</v>
      </c>
    </row>
    <row r="121" ht="15.75" customHeight="1">
      <c r="A121" s="51"/>
      <c r="B121" s="296" t="s">
        <v>576</v>
      </c>
      <c r="C121" s="189">
        <f>Standing!$C$37*0.5</f>
        <v>1</v>
      </c>
      <c r="D121" s="218">
        <f t="shared" si="3"/>
        <v>0.3183091418</v>
      </c>
      <c r="E121" s="190">
        <f t="shared" si="4"/>
        <v>25.4</v>
      </c>
      <c r="F121" s="122">
        <f t="shared" si="5"/>
        <v>8.085052203</v>
      </c>
      <c r="G121" s="123">
        <f>C121/Introduction!$I$20</f>
        <v>0.01041666667</v>
      </c>
      <c r="H121" s="192">
        <f t="shared" si="6"/>
        <v>0.003315720227</v>
      </c>
      <c r="I121" s="124">
        <f>E121/Introduction!$I$20</f>
        <v>0.2645833333</v>
      </c>
      <c r="J121" s="125">
        <f t="shared" si="7"/>
        <v>0.08421929378</v>
      </c>
      <c r="K121" s="51"/>
      <c r="L121" s="51"/>
      <c r="M121" s="51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286" t="s">
        <v>115</v>
      </c>
      <c r="AB121" s="158" t="s">
        <v>56</v>
      </c>
      <c r="AC121" s="287">
        <f>IF('Ship Data Imperial'!E122&gt;0,'Ship Data Imperial'!E122,AD121)</f>
        <v>0</v>
      </c>
      <c r="AD121" s="287">
        <f>'Ship Data Metric'!E122*0.03280839895</f>
        <v>0</v>
      </c>
      <c r="AE121" s="284">
        <f>IF(AC121&gt;0,Standing!$C$75*0.65,0)</f>
        <v>0</v>
      </c>
      <c r="AF121" s="280">
        <f>IF(AC121&gt;0,Standing!$C$75*0.33,0)</f>
        <v>0</v>
      </c>
      <c r="AG121" s="281">
        <f>IF(AC121&gt;0,Standing!$C$75*0.2,0)</f>
        <v>0</v>
      </c>
      <c r="AH121" s="282">
        <f>IF(AC121&gt;0,Standing!$C$75*0.5,0)</f>
        <v>0</v>
      </c>
      <c r="AI121" s="283">
        <f>IF(AC121&gt;0,Standing!$C$75*0.2,0)</f>
        <v>0</v>
      </c>
      <c r="AJ121" s="284">
        <f>IF(AC121&gt;0,Standing!$C$75*0.25,0)</f>
        <v>0</v>
      </c>
      <c r="AK121" s="281">
        <f>IF(AC121&gt;0,Standing!$C$81*0.8,0)</f>
        <v>0</v>
      </c>
      <c r="AL121" s="282">
        <f t="shared" si="8"/>
        <v>0</v>
      </c>
      <c r="AM121" s="283">
        <f>IF(AC121&gt;0,Standing!$C$81*0.45,0)</f>
        <v>0</v>
      </c>
      <c r="AN121" s="284">
        <f>IF(AC121&gt;0,Standing!$C$81*0.55,0)</f>
        <v>0</v>
      </c>
      <c r="AO121" s="280">
        <f>IF(AC121&gt;0,Standing!$C$81*0.36,0)</f>
        <v>0</v>
      </c>
      <c r="AP121" s="281">
        <f>IF(AC121&gt;0,Standing!$C$81*0.9,0)</f>
        <v>0</v>
      </c>
      <c r="AQ121" s="282">
        <f>IF(AC121&gt;0,Standing!$C$85*0.9,0)</f>
        <v>0</v>
      </c>
      <c r="AR121" s="283">
        <f>IF(AC121&gt;0,Standing!$C$85*0.5,0)</f>
        <v>0</v>
      </c>
      <c r="AS121" s="284">
        <f>IF(AC121&gt;0,Standing!$C$85*0.55,0)</f>
        <v>0</v>
      </c>
      <c r="AT121" s="280">
        <f>IF(AC121&gt;0,Standing!$C$85*0.66,0)</f>
        <v>0</v>
      </c>
      <c r="AU121" s="281">
        <f>IF(AC121&gt;0,Standing!$C$75*0.25,0)</f>
        <v>0</v>
      </c>
      <c r="AV121" s="282">
        <f>IF(AC121&gt;0,Standing!$C$75*0.2,0)</f>
        <v>0</v>
      </c>
      <c r="AW121" s="283">
        <f>IF(AC121&gt;0,Standing!$C$26*0.33,0)</f>
        <v>0</v>
      </c>
      <c r="AX121" s="284">
        <f>IF(AC121&gt;0,Standing!$C$26*0.2,0)</f>
        <v>0</v>
      </c>
      <c r="AY121" s="280">
        <f>IF(AC121&gt;0,Standing!$C$26*0.25,0)</f>
        <v>0</v>
      </c>
      <c r="AZ121" s="281">
        <f>IF(AC121&gt;0,Standing!$C$26*0.33,0)</f>
        <v>0</v>
      </c>
      <c r="BA121" s="282">
        <f>IF(AC121&gt;0,Standing!$C$26*0.15,0)</f>
        <v>0</v>
      </c>
      <c r="BB121" s="283">
        <f>IF(AC121&gt;0,Standing!$C$26*0.125,0)</f>
        <v>0</v>
      </c>
      <c r="BC121" s="284">
        <f>IF(AC121&gt;0,Standing!$C$32*0.33,0)</f>
        <v>0</v>
      </c>
      <c r="BD121" s="280">
        <f>IF(AC121&gt;0,Standing!$C$32*0.5,0)</f>
        <v>0</v>
      </c>
      <c r="BE121" s="281">
        <f>IF(AC121&gt;0,Standing!$C$32*0.33,0)</f>
        <v>0</v>
      </c>
      <c r="BF121" s="282">
        <f>IF(AC121&gt;0,Standing!$C$32*0.33,0)</f>
        <v>0</v>
      </c>
      <c r="BG121" s="283">
        <f>IF(AC121&gt;0,Standing!$C$32*0.3,0)</f>
        <v>0</v>
      </c>
      <c r="BH121" s="284">
        <f>IF(AC121&gt;0,Standing!$C$32*0.4,0)</f>
        <v>0</v>
      </c>
      <c r="BI121" s="280">
        <f>IF(AC121&gt;0,Standing!$C$26*0.75,0)</f>
        <v>0</v>
      </c>
      <c r="BJ121" s="281">
        <f>IF(AC121&gt;0,Standing!$C$26*0.65,0)</f>
        <v>0</v>
      </c>
      <c r="BK121" s="282">
        <f>IF(AC121&gt;0,Standing!$C$26*0.5,0)</f>
        <v>0</v>
      </c>
      <c r="BL121" s="283">
        <f>IF(AC121&gt;0,Standing!$C$32*0.66,0)</f>
        <v>0</v>
      </c>
      <c r="BM121" s="281">
        <f>IF(AC121&gt;0,Standing!$C$32*0.85,0)</f>
        <v>0</v>
      </c>
      <c r="BN121" s="284">
        <f t="shared" si="9"/>
        <v>0</v>
      </c>
      <c r="BO121" s="282">
        <f>IF(AC121&gt;0,Standing!$C$32*0.45,0)</f>
        <v>0</v>
      </c>
      <c r="BP121" s="280">
        <f>IF(AC121&gt;0,Standing!$C$32*0.45,0)</f>
        <v>0</v>
      </c>
      <c r="BQ121" s="281">
        <f>IF(AC121&gt;0,Standing!$C$32*0.66,0)</f>
        <v>0</v>
      </c>
      <c r="BR121" s="282">
        <f>IF(AC121&gt;0,Standing!$C$32*0.33,0)</f>
        <v>0</v>
      </c>
      <c r="BS121" s="283">
        <f>IF(AC121&gt;0,Standing!$C$32*0.375,0)</f>
        <v>0</v>
      </c>
      <c r="BT121" s="284">
        <f>IF(AC121&gt;0,Standing!$C$32*0.45,0)</f>
        <v>0</v>
      </c>
      <c r="BU121" s="280">
        <f>IF(AC121&gt;0,Standing!$C$36*0.9,0)</f>
        <v>0</v>
      </c>
      <c r="BV121" s="281">
        <f>IF(AC121&gt;0,Standing!$C$36*0.45,0)</f>
        <v>0</v>
      </c>
      <c r="BW121" s="282">
        <f>IF(AC121&gt;0,Standing!$C$126*0.66,0)</f>
        <v>0</v>
      </c>
      <c r="BX121" s="283">
        <f>IF(AC121&gt;0,Standing!$C$126*0.66,0)</f>
        <v>0</v>
      </c>
      <c r="BY121" s="284">
        <f>IF(AC121&gt;0,Standing!$C$126*0.4,0)</f>
        <v>0</v>
      </c>
      <c r="BZ121" s="280">
        <f>IF(AC121&gt;0,Standing!$C$126*0.33,0)</f>
        <v>0</v>
      </c>
      <c r="CA121" s="281">
        <f>IF(AC121&gt;0,Standing!$C$132,0)</f>
        <v>0</v>
      </c>
      <c r="CB121" s="282">
        <f>IF(AC121&gt;0,Standing!$C$132*0.66,0)</f>
        <v>0</v>
      </c>
      <c r="CC121" s="283">
        <f>IF(AC121&gt;0,Standing!$C$132*0.5,0)</f>
        <v>0</v>
      </c>
      <c r="CD121" s="284">
        <f>IF(AC121&gt;0,Standing!$C$132*0.5,0)</f>
        <v>0</v>
      </c>
      <c r="CE121" s="280">
        <f>IF(AC121&gt;0,Standing!$C$132*0.5,0)</f>
        <v>0</v>
      </c>
      <c r="CF121" s="281">
        <f>IF(AC121&gt;0,Standing!$C$132*0.66,0)</f>
        <v>0</v>
      </c>
      <c r="CG121" s="282">
        <f>IF(AC121&gt;0,Standing!$C$132*0.5,0)</f>
        <v>0</v>
      </c>
      <c r="CH121" s="283">
        <f>IF(AC121&gt;0,Standing!$C$132*0.5,0)</f>
        <v>0</v>
      </c>
      <c r="CI121" s="284">
        <f>IF(AC121&gt;0,Standing!$C$132*0.5,0)</f>
        <v>0</v>
      </c>
      <c r="CJ121" s="280">
        <f>IF(AC121&gt;0,Standing!$C$132*0.5,0)</f>
        <v>0</v>
      </c>
      <c r="CK121" s="281">
        <f>IF(AC121&gt;0,Standing!$C$126*0.55,0)</f>
        <v>0</v>
      </c>
      <c r="CL121" s="282">
        <f>IF(AC121&gt;0,Standing!$C$126*0.75,0)</f>
        <v>0</v>
      </c>
      <c r="CM121" s="283">
        <f>IF(AC121&gt;0,Standing!$C$126*0.7,0)</f>
        <v>0</v>
      </c>
      <c r="CN121" s="284">
        <f>IF(AC121&gt;0,Standing!$C$126*0.33,0)</f>
        <v>0</v>
      </c>
      <c r="CO121" s="280">
        <f>IF(AC121&gt;0,Standing!$C$126*0.4,0)</f>
        <v>0</v>
      </c>
      <c r="CP121" s="281">
        <f>IF(AC121&gt;0,Standing!$C$26*0.33,0)</f>
        <v>0</v>
      </c>
      <c r="CQ121" s="282">
        <f>IF(AC121&gt;0,Standing!$C$26*0.2,0)</f>
        <v>0</v>
      </c>
      <c r="CR121" s="283">
        <f>IF(AC121&gt;0,Standing!$C$26*0.25,0)</f>
        <v>0</v>
      </c>
      <c r="CS121" s="285">
        <f>IF(AC121&gt;0,Standing!$C$26*0.2,0)</f>
        <v>0</v>
      </c>
      <c r="CT121" s="286" t="s">
        <v>115</v>
      </c>
      <c r="CU121" s="158" t="s">
        <v>56</v>
      </c>
    </row>
    <row r="122" ht="15.75" customHeight="1">
      <c r="A122" s="51"/>
      <c r="B122" s="296" t="s">
        <v>577</v>
      </c>
      <c r="C122" s="189">
        <f>Standing!$C$37*0.75</f>
        <v>1.5</v>
      </c>
      <c r="D122" s="218">
        <f t="shared" si="3"/>
        <v>0.4774637128</v>
      </c>
      <c r="E122" s="190">
        <f t="shared" si="4"/>
        <v>38.1</v>
      </c>
      <c r="F122" s="122">
        <f t="shared" si="5"/>
        <v>12.1275783</v>
      </c>
      <c r="G122" s="123">
        <f>C122/Introduction!$I$20</f>
        <v>0.015625</v>
      </c>
      <c r="H122" s="192">
        <f t="shared" si="6"/>
        <v>0.004973580341</v>
      </c>
      <c r="I122" s="124">
        <f>E122/Introduction!$I$20</f>
        <v>0.396875</v>
      </c>
      <c r="J122" s="125">
        <f t="shared" si="7"/>
        <v>0.1263289407</v>
      </c>
      <c r="K122" s="51"/>
      <c r="L122" s="51"/>
      <c r="M122" s="51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286" t="s">
        <v>57</v>
      </c>
      <c r="AB122" s="286" t="s">
        <v>24</v>
      </c>
      <c r="AC122" s="287">
        <f>IF('Ship Data Imperial'!E123&gt;0,'Ship Data Imperial'!E123,AD122)</f>
        <v>0</v>
      </c>
      <c r="AD122" s="287">
        <f>'Ship Data Metric'!E123*0.03280839895</f>
        <v>0</v>
      </c>
      <c r="AE122" s="284">
        <f>IF(AC122&gt;0,Standing!$C$75*0.45,0)</f>
        <v>0</v>
      </c>
      <c r="AF122" s="280">
        <f>IF(AC122&gt;0,Standing!$C$75*0.25,0)</f>
        <v>0</v>
      </c>
      <c r="AG122" s="281">
        <f>IF(AC122&gt;0,Standing!$C$75*0.165,0)</f>
        <v>0</v>
      </c>
      <c r="AH122" s="282">
        <f>IF(AC122&gt;0,Standing!$C$75*0.5,0)</f>
        <v>0</v>
      </c>
      <c r="AI122" s="283">
        <f>IF(AC122&gt;0,Standing!$C$75*0.16,0)</f>
        <v>0</v>
      </c>
      <c r="AJ122" s="284">
        <f>IF(AC122&gt;0,Standing!$C$75*0.2,0)</f>
        <v>0</v>
      </c>
      <c r="AK122" s="281">
        <f>IF(AC122&gt;0,Standing!$C$81*0.66,0)</f>
        <v>0</v>
      </c>
      <c r="AL122" s="282">
        <f t="shared" si="8"/>
        <v>0</v>
      </c>
      <c r="AM122" s="283">
        <f>IF(AC122&gt;0,Standing!$C$81*0.45,0)</f>
        <v>0</v>
      </c>
      <c r="AN122" s="284">
        <f>IF(AC122&gt;0,Standing!$C$81*0.55,0)</f>
        <v>0</v>
      </c>
      <c r="AO122" s="280">
        <f>IF(AC122&gt;0,Standing!$C$81*0.36,0)</f>
        <v>0</v>
      </c>
      <c r="AP122" s="281">
        <f>IF(AC122&gt;0,Standing!$C$81,0)</f>
        <v>0</v>
      </c>
      <c r="AQ122" s="282">
        <f>IF(AC122&gt;0,Standing!$C$85*0.9,0)</f>
        <v>0</v>
      </c>
      <c r="AR122" s="283">
        <f>IF(AC122&gt;0,Standing!$C$85*0.5,0)</f>
        <v>0</v>
      </c>
      <c r="AS122" s="284">
        <f>IF(AC122&gt;0,Standing!$C$85*0.55,0)</f>
        <v>0</v>
      </c>
      <c r="AT122" s="280">
        <f>IF(AC122&gt;0,Standing!$C$85*0.66,0)</f>
        <v>0</v>
      </c>
      <c r="AU122" s="281">
        <f>IF(AC122&gt;0,Standing!$C$75*0.2,0)</f>
        <v>0</v>
      </c>
      <c r="AV122" s="282">
        <f>IF(AC122&gt;0,Standing!$C$75*0.2,0)</f>
        <v>0</v>
      </c>
      <c r="AW122" s="283">
        <f>IF(AC122&gt;0,Standing!$C$26*0.33,0)</f>
        <v>0</v>
      </c>
      <c r="AX122" s="284">
        <f>IF(AC122&gt;0,Standing!$C$26*0.2,0)</f>
        <v>0</v>
      </c>
      <c r="AY122" s="280">
        <f>IF(AC122&gt;0,Standing!$C$26*0.25,0)</f>
        <v>0</v>
      </c>
      <c r="AZ122" s="281">
        <f>IF(AC122&gt;0,Standing!$C$26*0.33,0)</f>
        <v>0</v>
      </c>
      <c r="BA122" s="282">
        <f>IF(AC122&gt;0,Standing!$C$26*0.15,0)</f>
        <v>0</v>
      </c>
      <c r="BB122" s="283">
        <f>IF(AC122&gt;0,Standing!$C$26*0.125,0)</f>
        <v>0</v>
      </c>
      <c r="BC122" s="284">
        <f>IF(AC122&gt;0,Standing!$C$32*0.33,0)</f>
        <v>0</v>
      </c>
      <c r="BD122" s="280">
        <f>IF(AC122&gt;0,Standing!$C$32*0.5,0)</f>
        <v>0</v>
      </c>
      <c r="BE122" s="281">
        <f>IF(AC122&gt;0,Standing!$C$32*0.33,0)</f>
        <v>0</v>
      </c>
      <c r="BF122" s="282">
        <f>IF(AC122&gt;0,Standing!$C$32*0.33,0)</f>
        <v>0</v>
      </c>
      <c r="BG122" s="283">
        <f>IF(AC122&gt;0,Standing!$C$32*0.25,0)</f>
        <v>0</v>
      </c>
      <c r="BH122" s="284">
        <f>IF(AC122&gt;0,Standing!$C$32*0.33,0)</f>
        <v>0</v>
      </c>
      <c r="BI122" s="280">
        <f>IF(AC122&gt;0,Standing!$C$26*0.5,0)</f>
        <v>0</v>
      </c>
      <c r="BJ122" s="281">
        <f>IF(AC122&gt;0,Standing!$C$26*0.45,0)</f>
        <v>0</v>
      </c>
      <c r="BK122" s="282">
        <f>IF(AC122&gt;0,Standing!$C$26*0.5,0)</f>
        <v>0</v>
      </c>
      <c r="BL122" s="283">
        <f>IF(AC122&gt;0,Standing!$C$32*0.66,0)</f>
        <v>0</v>
      </c>
      <c r="BM122" s="281">
        <f>IF(AC122&gt;0,Standing!$C$32*0.9,0)</f>
        <v>0</v>
      </c>
      <c r="BN122" s="284">
        <f t="shared" si="9"/>
        <v>0</v>
      </c>
      <c r="BO122" s="282">
        <f>IF(AC122&gt;0,Standing!$C$32*0.5,0)</f>
        <v>0</v>
      </c>
      <c r="BP122" s="280">
        <f>IF(AC122&gt;0,Standing!$C$32*0.45,0)</f>
        <v>0</v>
      </c>
      <c r="BQ122" s="281">
        <f>IF(AC122&gt;0,Standing!$C$32*0.66,0)</f>
        <v>0</v>
      </c>
      <c r="BR122" s="282">
        <f>IF(AC122&gt;0,Standing!$C$32*0.33,0)</f>
        <v>0</v>
      </c>
      <c r="BS122" s="283">
        <f>IF(AC122&gt;0,Standing!$C$32*0.33,0)</f>
        <v>0</v>
      </c>
      <c r="BT122" s="284">
        <f>IF(AC122&gt;0,Standing!$C$32*0.45,0)</f>
        <v>0</v>
      </c>
      <c r="BU122" s="280">
        <f>IF(AC122&gt;0,Standing!$C$36*0.9,0)</f>
        <v>0</v>
      </c>
      <c r="BV122" s="281">
        <f>IF(AC122&gt;0,Standing!$C$36*0.45,0)</f>
        <v>0</v>
      </c>
      <c r="BW122" s="282">
        <f>IF(AC122&gt;0,Standing!$C$126*0.66,0)</f>
        <v>0</v>
      </c>
      <c r="BX122" s="283">
        <f>IF(AC122&gt;0,Standing!$C$126*0.66,0)</f>
        <v>0</v>
      </c>
      <c r="BY122" s="284">
        <f>IF(AC122&gt;0,Standing!$C$126*0.4,0)</f>
        <v>0</v>
      </c>
      <c r="BZ122" s="280">
        <f>IF(AC122&gt;0,Standing!$C$126*0.33,0)</f>
        <v>0</v>
      </c>
      <c r="CA122" s="281">
        <f>IF(AC122&gt;0,Standing!$C$132*0.8,0)</f>
        <v>0</v>
      </c>
      <c r="CB122" s="282">
        <f>IF(AC122&gt;0,Standing!$C$132*0.66,0)</f>
        <v>0</v>
      </c>
      <c r="CC122" s="283">
        <f>IF(AC122&gt;0,Standing!$C$132*0.5,0)</f>
        <v>0</v>
      </c>
      <c r="CD122" s="284">
        <f>IF(AC122&gt;0,Standing!$C$132*0.5,0)</f>
        <v>0</v>
      </c>
      <c r="CE122" s="280">
        <f>IF(AC122&gt;0,Standing!$C$132*0.4,0)</f>
        <v>0</v>
      </c>
      <c r="CF122" s="281">
        <f>IF(AC122&gt;0,Standing!$C$132*0.66,0)</f>
        <v>0</v>
      </c>
      <c r="CG122" s="282">
        <f>IF(AC122&gt;0,Standing!$C$132*0.5,0)</f>
        <v>0</v>
      </c>
      <c r="CH122" s="283">
        <f>IF(AC122&gt;0,Standing!$C$132*0.5,0)</f>
        <v>0</v>
      </c>
      <c r="CI122" s="284">
        <f>IF(AC122&gt;0,Standing!$C$132*0.5,0)</f>
        <v>0</v>
      </c>
      <c r="CJ122" s="280">
        <f>IF(AC122&gt;0,Standing!$C$132*0.5,0)</f>
        <v>0</v>
      </c>
      <c r="CK122" s="281">
        <f>IF(AC122&gt;0,Standing!$C$126*0.55,0)</f>
        <v>0</v>
      </c>
      <c r="CL122" s="282">
        <f>IF(AC122&gt;0,Standing!$C$126*0.75,0)</f>
        <v>0</v>
      </c>
      <c r="CM122" s="283">
        <f>IF(AC122&gt;0,Standing!$C$126*0.7,0)</f>
        <v>0</v>
      </c>
      <c r="CN122" s="284">
        <f>IF(AC122&gt;0,Standing!$C$126*0.33,0)</f>
        <v>0</v>
      </c>
      <c r="CO122" s="280">
        <f>IF(AC122&gt;0,Standing!$C$126*0.4,0)</f>
        <v>0</v>
      </c>
      <c r="CP122" s="281">
        <f>IF(AC122&gt;0,Standing!$C$26*0.25,0)</f>
        <v>0</v>
      </c>
      <c r="CQ122" s="282">
        <f>IF(AC122&gt;0,Standing!$C$26*0.165,0)</f>
        <v>0</v>
      </c>
      <c r="CR122" s="283">
        <f>IF(AC122&gt;0,Standing!$C$26*0.2,0)</f>
        <v>0</v>
      </c>
      <c r="CS122" s="285">
        <f>IF(AC122&gt;0,Standing!$C$26*0.16,0)</f>
        <v>0</v>
      </c>
      <c r="CT122" s="286" t="s">
        <v>57</v>
      </c>
      <c r="CU122" s="286" t="s">
        <v>24</v>
      </c>
    </row>
    <row r="123" ht="15.75" customHeight="1">
      <c r="A123" s="51"/>
      <c r="B123" s="296" t="s">
        <v>578</v>
      </c>
      <c r="C123" s="189">
        <f>Standing!$C$37*0.75</f>
        <v>1.5</v>
      </c>
      <c r="D123" s="218">
        <f t="shared" si="3"/>
        <v>0.4774637128</v>
      </c>
      <c r="E123" s="190">
        <f t="shared" si="4"/>
        <v>38.1</v>
      </c>
      <c r="F123" s="122">
        <f t="shared" si="5"/>
        <v>12.1275783</v>
      </c>
      <c r="G123" s="123">
        <f>C123/Introduction!$I$20</f>
        <v>0.015625</v>
      </c>
      <c r="H123" s="192">
        <f t="shared" si="6"/>
        <v>0.004973580341</v>
      </c>
      <c r="I123" s="124">
        <f>E123/Introduction!$I$20</f>
        <v>0.396875</v>
      </c>
      <c r="J123" s="125">
        <f t="shared" si="7"/>
        <v>0.1263289407</v>
      </c>
      <c r="K123" s="51"/>
      <c r="L123" s="51"/>
      <c r="M123" s="51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286"/>
      <c r="AB123" s="286" t="s">
        <v>25</v>
      </c>
      <c r="AC123" s="287">
        <f>IF('Ship Data Imperial'!E124&gt;0,'Ship Data Imperial'!E124,AD123)</f>
        <v>0</v>
      </c>
      <c r="AD123" s="287">
        <f>'Ship Data Metric'!E124*0.03280839895</f>
        <v>0</v>
      </c>
      <c r="AE123" s="284">
        <f>IF(AC123&gt;0,Standing!$C$75*0.45,0)</f>
        <v>0</v>
      </c>
      <c r="AF123" s="280">
        <f>IF(AC123&gt;0,Standing!$C$75*0.25,0)</f>
        <v>0</v>
      </c>
      <c r="AG123" s="281">
        <f>IF(AC123&gt;0,Standing!$C$75*0.165,0)</f>
        <v>0</v>
      </c>
      <c r="AH123" s="282">
        <f>IF(AC123&gt;0,Standing!$C$75*0.5,0)</f>
        <v>0</v>
      </c>
      <c r="AI123" s="283">
        <f>IF(AC123&gt;0,Standing!$C$75*0.16,0)</f>
        <v>0</v>
      </c>
      <c r="AJ123" s="284">
        <f>IF(AC123&gt;0,Standing!$C$75*0.2,0)</f>
        <v>0</v>
      </c>
      <c r="AK123" s="281">
        <f>IF(AC123&gt;0,Standing!$C$81*0.66,0)</f>
        <v>0</v>
      </c>
      <c r="AL123" s="282">
        <f t="shared" si="8"/>
        <v>0</v>
      </c>
      <c r="AM123" s="283">
        <f>IF(AC123&gt;0,Standing!$C$81*0.45,0)</f>
        <v>0</v>
      </c>
      <c r="AN123" s="284">
        <f>IF(AC123&gt;0,Standing!$C$81*0.55,0)</f>
        <v>0</v>
      </c>
      <c r="AO123" s="280">
        <f>IF(AC123&gt;0,Standing!$C$81*0.36,0)</f>
        <v>0</v>
      </c>
      <c r="AP123" s="281">
        <f>IF(AC123&gt;0,Standing!$C$81,0)</f>
        <v>0</v>
      </c>
      <c r="AQ123" s="282">
        <f>IF(AC123&gt;0,Standing!$C$85*0.9,0)</f>
        <v>0</v>
      </c>
      <c r="AR123" s="283">
        <f>IF(AC123&gt;0,Standing!$C$85*0.5,0)</f>
        <v>0</v>
      </c>
      <c r="AS123" s="284">
        <f>IF(AC123&gt;0,Standing!$C$85*0.55,0)</f>
        <v>0</v>
      </c>
      <c r="AT123" s="280">
        <f>IF(AC123&gt;0,Standing!$C$85*0.66,0)</f>
        <v>0</v>
      </c>
      <c r="AU123" s="281">
        <f>IF(AC123&gt;0,Standing!$C$75*0.2,0)</f>
        <v>0</v>
      </c>
      <c r="AV123" s="282">
        <f>IF(AC123&gt;0,Standing!$C$75*0.2,0)</f>
        <v>0</v>
      </c>
      <c r="AW123" s="283">
        <f>IF(AC123&gt;0,Standing!$C$26*0.33,0)</f>
        <v>0</v>
      </c>
      <c r="AX123" s="284">
        <f>IF(AC123&gt;0,Standing!$C$26*0.2,0)</f>
        <v>0</v>
      </c>
      <c r="AY123" s="280">
        <f>IF(AC123&gt;0,Standing!$C$26*0.25,0)</f>
        <v>0</v>
      </c>
      <c r="AZ123" s="281">
        <f>IF(AC123&gt;0,Standing!$C$26*0.33,0)</f>
        <v>0</v>
      </c>
      <c r="BA123" s="282">
        <f>IF(AC123&gt;0,Standing!$C$26*0.15,0)</f>
        <v>0</v>
      </c>
      <c r="BB123" s="283">
        <f>IF(AC123&gt;0,Standing!$C$26*0.125,0)</f>
        <v>0</v>
      </c>
      <c r="BC123" s="284">
        <f>IF(AC123&gt;0,Standing!$C$32*0.33,0)</f>
        <v>0</v>
      </c>
      <c r="BD123" s="280">
        <f>IF(AC123&gt;0,Standing!$C$32*0.5,0)</f>
        <v>0</v>
      </c>
      <c r="BE123" s="281">
        <f>IF(AC123&gt;0,Standing!$C$32*0.33,0)</f>
        <v>0</v>
      </c>
      <c r="BF123" s="282">
        <f>IF(AC123&gt;0,Standing!$C$32*0.33,0)</f>
        <v>0</v>
      </c>
      <c r="BG123" s="283">
        <f>IF(AC123&gt;0,Standing!$C$32*0.25,0)</f>
        <v>0</v>
      </c>
      <c r="BH123" s="284">
        <f>IF(AC123&gt;0,Standing!$C$32*0.33,0)</f>
        <v>0</v>
      </c>
      <c r="BI123" s="280">
        <f>IF(AC123&gt;0,Standing!$C$26*0.5,0)</f>
        <v>0</v>
      </c>
      <c r="BJ123" s="281">
        <f>IF(AC123&gt;0,Standing!$C$26*0.45,0)</f>
        <v>0</v>
      </c>
      <c r="BK123" s="282">
        <f>IF(AC123&gt;0,Standing!$C$26*0.5,0)</f>
        <v>0</v>
      </c>
      <c r="BL123" s="283">
        <f>IF(AC123&gt;0,Standing!$C$32*0.66,0)</f>
        <v>0</v>
      </c>
      <c r="BM123" s="281">
        <f>IF(AC123&gt;0,Standing!$C$32*0.9,0)</f>
        <v>0</v>
      </c>
      <c r="BN123" s="284">
        <f t="shared" si="9"/>
        <v>0</v>
      </c>
      <c r="BO123" s="282">
        <f>IF(AC123&gt;0,Standing!$C$32*0.5,0)</f>
        <v>0</v>
      </c>
      <c r="BP123" s="280">
        <f>IF(AC123&gt;0,Standing!$C$32*0.45,0)</f>
        <v>0</v>
      </c>
      <c r="BQ123" s="281">
        <f>IF(AC123&gt;0,Standing!$C$32*0.66,0)</f>
        <v>0</v>
      </c>
      <c r="BR123" s="282">
        <f>IF(AC123&gt;0,Standing!$C$32*0.33,0)</f>
        <v>0</v>
      </c>
      <c r="BS123" s="283">
        <f>IF(AC123&gt;0,Standing!$C$32*0.33,0)</f>
        <v>0</v>
      </c>
      <c r="BT123" s="284">
        <f>IF(AC123&gt;0,Standing!$C$32*0.45,0)</f>
        <v>0</v>
      </c>
      <c r="BU123" s="280">
        <f>IF(AC123&gt;0,Standing!$C$36*0.9,0)</f>
        <v>0</v>
      </c>
      <c r="BV123" s="281">
        <f>IF(AC123&gt;0,Standing!$C$36*0.45,0)</f>
        <v>0</v>
      </c>
      <c r="BW123" s="282">
        <f>IF(AC123&gt;0,Standing!$C$126*0.66,0)</f>
        <v>0</v>
      </c>
      <c r="BX123" s="283">
        <f>IF(AC123&gt;0,Standing!$C$126*0.66,0)</f>
        <v>0</v>
      </c>
      <c r="BY123" s="284">
        <f>IF(AC123&gt;0,Standing!$C$126*0.4,0)</f>
        <v>0</v>
      </c>
      <c r="BZ123" s="280">
        <f>IF(AC123&gt;0,Standing!$C$126*0.33,0)</f>
        <v>0</v>
      </c>
      <c r="CA123" s="281">
        <f>IF(AC123&gt;0,Standing!$C$132*0.8,0)</f>
        <v>0</v>
      </c>
      <c r="CB123" s="282">
        <f>IF(AC123&gt;0,Standing!$C$132*0.66,0)</f>
        <v>0</v>
      </c>
      <c r="CC123" s="283">
        <f>IF(AC123&gt;0,Standing!$C$132*0.5,0)</f>
        <v>0</v>
      </c>
      <c r="CD123" s="284">
        <f>IF(AC123&gt;0,Standing!$C$132*0.5,0)</f>
        <v>0</v>
      </c>
      <c r="CE123" s="280">
        <f>IF(AC123&gt;0,Standing!$C$132*0.4,0)</f>
        <v>0</v>
      </c>
      <c r="CF123" s="281">
        <f>IF(AC123&gt;0,Standing!$C$132*0.66,0)</f>
        <v>0</v>
      </c>
      <c r="CG123" s="282">
        <f>IF(AC123&gt;0,Standing!$C$132*0.5,0)</f>
        <v>0</v>
      </c>
      <c r="CH123" s="283">
        <f>IF(AC123&gt;0,Standing!$C$132*0.5,0)</f>
        <v>0</v>
      </c>
      <c r="CI123" s="284">
        <f>IF(AC123&gt;0,Standing!$C$132*0.5,0)</f>
        <v>0</v>
      </c>
      <c r="CJ123" s="280">
        <f>IF(AC123&gt;0,Standing!$C$132*0.5,0)</f>
        <v>0</v>
      </c>
      <c r="CK123" s="281">
        <f>IF(AC123&gt;0,Standing!$C$126*0.55,0)</f>
        <v>0</v>
      </c>
      <c r="CL123" s="282">
        <f>IF(AC123&gt;0,Standing!$C$126*0.75,0)</f>
        <v>0</v>
      </c>
      <c r="CM123" s="283">
        <f>IF(AC123&gt;0,Standing!$C$126*0.7,0)</f>
        <v>0</v>
      </c>
      <c r="CN123" s="284">
        <f>IF(AC123&gt;0,Standing!$C$126*0.33,0)</f>
        <v>0</v>
      </c>
      <c r="CO123" s="280">
        <f>IF(AC123&gt;0,Standing!$C$126*0.4,0)</f>
        <v>0</v>
      </c>
      <c r="CP123" s="281">
        <f>IF(AC123&gt;0,Standing!$C$26*0.25,0)</f>
        <v>0</v>
      </c>
      <c r="CQ123" s="282">
        <f>IF(AC123&gt;0,Standing!$C$26*0.165,0)</f>
        <v>0</v>
      </c>
      <c r="CR123" s="283">
        <f>IF(AC123&gt;0,Standing!$C$26*0.2,0)</f>
        <v>0</v>
      </c>
      <c r="CS123" s="285">
        <f>IF(AC123&gt;0,Standing!$C$26*0.16,0)</f>
        <v>0</v>
      </c>
      <c r="CT123" s="286"/>
      <c r="CU123" s="286" t="s">
        <v>25</v>
      </c>
    </row>
    <row r="124" ht="15.75" customHeight="1">
      <c r="A124" s="51"/>
      <c r="B124" s="296" t="s">
        <v>579</v>
      </c>
      <c r="C124" s="189">
        <f>Standing!$C$37*0.5</f>
        <v>1</v>
      </c>
      <c r="D124" s="218">
        <f t="shared" si="3"/>
        <v>0.3183091418</v>
      </c>
      <c r="E124" s="190">
        <f t="shared" si="4"/>
        <v>25.4</v>
      </c>
      <c r="F124" s="122">
        <f t="shared" si="5"/>
        <v>8.085052203</v>
      </c>
      <c r="G124" s="123">
        <f>C124/Introduction!$I$20</f>
        <v>0.01041666667</v>
      </c>
      <c r="H124" s="192">
        <f t="shared" si="6"/>
        <v>0.003315720227</v>
      </c>
      <c r="I124" s="124">
        <f>E124/Introduction!$I$20</f>
        <v>0.2645833333</v>
      </c>
      <c r="J124" s="125">
        <f t="shared" si="7"/>
        <v>0.08421929378</v>
      </c>
      <c r="K124" s="51"/>
      <c r="L124" s="51"/>
      <c r="M124" s="51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286"/>
      <c r="AB124" s="286" t="s">
        <v>26</v>
      </c>
      <c r="AC124" s="287">
        <f>IF('Ship Data Imperial'!E125&gt;0,'Ship Data Imperial'!E125,AD124)</f>
        <v>0</v>
      </c>
      <c r="AD124" s="287">
        <f>'Ship Data Metric'!E125*0.03280839895</f>
        <v>0</v>
      </c>
      <c r="AE124" s="284">
        <f>IF(AC124&gt;0,Standing!$C$75*0.45,0)</f>
        <v>0</v>
      </c>
      <c r="AF124" s="280">
        <f>IF(AC124&gt;0,Standing!$C$75*0.25,0)</f>
        <v>0</v>
      </c>
      <c r="AG124" s="281">
        <f>IF(AC124&gt;0,Standing!$C$75*0.2,0)</f>
        <v>0</v>
      </c>
      <c r="AH124" s="282">
        <f>IF(AC124&gt;0,Standing!$C$75*0.5,0)</f>
        <v>0</v>
      </c>
      <c r="AI124" s="283">
        <f>IF(AC124&gt;0,Standing!$C$75*0.2,0)</f>
        <v>0</v>
      </c>
      <c r="AJ124" s="284">
        <f>IF(AC124&gt;0,Standing!$C$75*0.25,0)</f>
        <v>0</v>
      </c>
      <c r="AK124" s="281">
        <f>IF(AC124&gt;0,Standing!$C$81*0.8,0)</f>
        <v>0</v>
      </c>
      <c r="AL124" s="282">
        <f t="shared" si="8"/>
        <v>0</v>
      </c>
      <c r="AM124" s="283">
        <f>IF(AC124&gt;0,Standing!$C$81*0.45,0)</f>
        <v>0</v>
      </c>
      <c r="AN124" s="284">
        <f>IF(AC124&gt;0,Standing!$C$81*0.55,0)</f>
        <v>0</v>
      </c>
      <c r="AO124" s="280">
        <f>IF(AC124&gt;0,Standing!$C$81*0.36,0)</f>
        <v>0</v>
      </c>
      <c r="AP124" s="281">
        <f>IF(AC124&gt;0,Standing!$C$81*0.9,0)</f>
        <v>0</v>
      </c>
      <c r="AQ124" s="282">
        <f>IF(AC124&gt;0,Standing!$C$85*0.9,0)</f>
        <v>0</v>
      </c>
      <c r="AR124" s="283">
        <f>IF(AC124&gt;0,Standing!$C$85*0.5,0)</f>
        <v>0</v>
      </c>
      <c r="AS124" s="284">
        <f>IF(AC124&gt;0,Standing!$C$85*0.55,0)</f>
        <v>0</v>
      </c>
      <c r="AT124" s="280">
        <f>IF(AC124&gt;0,Standing!$C$85*0.66,0)</f>
        <v>0</v>
      </c>
      <c r="AU124" s="281">
        <f>IF(AC124&gt;0,Standing!$C$75*0.2,0)</f>
        <v>0</v>
      </c>
      <c r="AV124" s="282">
        <f>IF(AC124&gt;0,Standing!$C$75*0.2,0)</f>
        <v>0</v>
      </c>
      <c r="AW124" s="283">
        <f>IF(AC124&gt;0,Standing!$C$26*0.33,0)</f>
        <v>0</v>
      </c>
      <c r="AX124" s="284">
        <f>IF(AC124&gt;0,Standing!$C$26*0.2,0)</f>
        <v>0</v>
      </c>
      <c r="AY124" s="280">
        <f>IF(AC124&gt;0,Standing!$C$26*0.25,0)</f>
        <v>0</v>
      </c>
      <c r="AZ124" s="281">
        <f>IF(AC124&gt;0,Standing!$C$26*0.33,0)</f>
        <v>0</v>
      </c>
      <c r="BA124" s="282">
        <f>IF(AC124&gt;0,Standing!$C$26*0.15,0)</f>
        <v>0</v>
      </c>
      <c r="BB124" s="283">
        <f>IF(AC124&gt;0,Standing!$C$26*0.125,0)</f>
        <v>0</v>
      </c>
      <c r="BC124" s="284">
        <f>IF(AC124&gt;0,Standing!$C$32*0.33,0)</f>
        <v>0</v>
      </c>
      <c r="BD124" s="280">
        <f>IF(AC124&gt;0,Standing!$C$32*0.5,0)</f>
        <v>0</v>
      </c>
      <c r="BE124" s="281">
        <f>IF(AC124&gt;0,Standing!$C$32*0.33,0)</f>
        <v>0</v>
      </c>
      <c r="BF124" s="282">
        <f>IF(AC124&gt;0,Standing!$C$32*0.33,0)</f>
        <v>0</v>
      </c>
      <c r="BG124" s="283">
        <f>IF(AC124&gt;0,Standing!$C$32*0.25,0)</f>
        <v>0</v>
      </c>
      <c r="BH124" s="284">
        <f>IF(AC124&gt;0,Standing!$C$32*0.4,0)</f>
        <v>0</v>
      </c>
      <c r="BI124" s="280">
        <f>IF(AC124&gt;0,Standing!$C$26*0.5,0)</f>
        <v>0</v>
      </c>
      <c r="BJ124" s="281">
        <f>IF(AC124&gt;0,Standing!$C$26*0.45,0)</f>
        <v>0</v>
      </c>
      <c r="BK124" s="282">
        <f>IF(AC124&gt;0,Standing!$C$26*0.5,0)</f>
        <v>0</v>
      </c>
      <c r="BL124" s="283">
        <f>IF(AC124&gt;0,Standing!$C$32*0.66,0)</f>
        <v>0</v>
      </c>
      <c r="BM124" s="281">
        <f>IF(AC124&gt;0,Standing!$C$32*0.85,0)</f>
        <v>0</v>
      </c>
      <c r="BN124" s="284">
        <f t="shared" si="9"/>
        <v>0</v>
      </c>
      <c r="BO124" s="282">
        <f>IF(AC124&gt;0,Standing!$C$32*0.5,0)</f>
        <v>0</v>
      </c>
      <c r="BP124" s="280">
        <f>IF(AC124&gt;0,Standing!$C$32*0.45,0)</f>
        <v>0</v>
      </c>
      <c r="BQ124" s="281">
        <f>IF(AC124&gt;0,Standing!$C$32*0.66,0)</f>
        <v>0</v>
      </c>
      <c r="BR124" s="282">
        <f>IF(AC124&gt;0,Standing!$C$32*0.33,0)</f>
        <v>0</v>
      </c>
      <c r="BS124" s="283">
        <f>IF(AC124&gt;0,Standing!$C$32*0.33,0)</f>
        <v>0</v>
      </c>
      <c r="BT124" s="284">
        <f>IF(AC124&gt;0,Standing!$C$32*0.45,0)</f>
        <v>0</v>
      </c>
      <c r="BU124" s="280">
        <f>IF(AC124&gt;0,Standing!$C$36*0.9,0)</f>
        <v>0</v>
      </c>
      <c r="BV124" s="281">
        <f>IF(AC124&gt;0,Standing!$C$36*0.45,0)</f>
        <v>0</v>
      </c>
      <c r="BW124" s="282">
        <f>IF(AC124&gt;0,Standing!$C$126*0.66,0)</f>
        <v>0</v>
      </c>
      <c r="BX124" s="283">
        <f>IF(AC124&gt;0,Standing!$C$126*0.66,0)</f>
        <v>0</v>
      </c>
      <c r="BY124" s="284">
        <f>IF(AC124&gt;0,Standing!$C$126*0.4,0)</f>
        <v>0</v>
      </c>
      <c r="BZ124" s="280">
        <f>IF(AC124&gt;0,Standing!$C$126*0.33,0)</f>
        <v>0</v>
      </c>
      <c r="CA124" s="281">
        <f>IF(AC124&gt;0,Standing!$C$132*0.8,0)</f>
        <v>0</v>
      </c>
      <c r="CB124" s="282">
        <f>IF(AC124&gt;0,Standing!$C$132*0.66,0)</f>
        <v>0</v>
      </c>
      <c r="CC124" s="283">
        <f>IF(AC124&gt;0,Standing!$C$132*0.5,0)</f>
        <v>0</v>
      </c>
      <c r="CD124" s="284">
        <f>IF(AC124&gt;0,Standing!$C$132*0.5,0)</f>
        <v>0</v>
      </c>
      <c r="CE124" s="280">
        <f>IF(AC124&gt;0,Standing!$C$132*0.4,0)</f>
        <v>0</v>
      </c>
      <c r="CF124" s="281">
        <f>IF(AC124&gt;0,Standing!$C$132*0.66,0)</f>
        <v>0</v>
      </c>
      <c r="CG124" s="282">
        <f>IF(AC124&gt;0,Standing!$C$132*0.5,0)</f>
        <v>0</v>
      </c>
      <c r="CH124" s="283">
        <f>IF(AC124&gt;0,Standing!$C$132*0.5,0)</f>
        <v>0</v>
      </c>
      <c r="CI124" s="284">
        <f>IF(AC124&gt;0,Standing!$C$132*0.5,0)</f>
        <v>0</v>
      </c>
      <c r="CJ124" s="280">
        <f>IF(AC124&gt;0,Standing!$C$132*0.5,0)</f>
        <v>0</v>
      </c>
      <c r="CK124" s="281">
        <f>IF(AC124&gt;0,Standing!$C$126*0.55,0)</f>
        <v>0</v>
      </c>
      <c r="CL124" s="282">
        <f>IF(AC124&gt;0,Standing!$C$126*0.75,0)</f>
        <v>0</v>
      </c>
      <c r="CM124" s="283">
        <f>IF(AC124&gt;0,Standing!$C$126*0.7,0)</f>
        <v>0</v>
      </c>
      <c r="CN124" s="284">
        <f>IF(AC124&gt;0,Standing!$C$126*0.33,0)</f>
        <v>0</v>
      </c>
      <c r="CO124" s="280">
        <f>IF(AC124&gt;0,Standing!$C$126*0.4,0)</f>
        <v>0</v>
      </c>
      <c r="CP124" s="281">
        <f>IF(AC124&gt;0,Standing!$C$26*0.25,0)</f>
        <v>0</v>
      </c>
      <c r="CQ124" s="282">
        <f>IF(AC124&gt;0,Standing!$C$26*0.2,0)</f>
        <v>0</v>
      </c>
      <c r="CR124" s="283">
        <f>IF(AC124&gt;0,Standing!$C$26*0.25,0)</f>
        <v>0</v>
      </c>
      <c r="CS124" s="285">
        <f>IF(AC124&gt;0,Standing!$C$26*0.2,0)</f>
        <v>0</v>
      </c>
      <c r="CT124" s="286"/>
      <c r="CU124" s="286" t="s">
        <v>26</v>
      </c>
    </row>
    <row r="125" ht="15.75" customHeight="1">
      <c r="A125" s="51"/>
      <c r="B125" s="296" t="s">
        <v>580</v>
      </c>
      <c r="C125" s="189">
        <f>Standing!$C$37*0.5</f>
        <v>1</v>
      </c>
      <c r="D125" s="218">
        <f t="shared" si="3"/>
        <v>0.3183091418</v>
      </c>
      <c r="E125" s="190">
        <f t="shared" si="4"/>
        <v>25.4</v>
      </c>
      <c r="F125" s="122">
        <f t="shared" si="5"/>
        <v>8.085052203</v>
      </c>
      <c r="G125" s="123">
        <f>C125/Introduction!$I$20</f>
        <v>0.01041666667</v>
      </c>
      <c r="H125" s="192">
        <f t="shared" si="6"/>
        <v>0.003315720227</v>
      </c>
      <c r="I125" s="124">
        <f>E125/Introduction!$I$20</f>
        <v>0.2645833333</v>
      </c>
      <c r="J125" s="125">
        <f t="shared" si="7"/>
        <v>0.08421929378</v>
      </c>
      <c r="K125" s="51"/>
      <c r="L125" s="51"/>
      <c r="M125" s="51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286"/>
      <c r="AB125" s="286" t="s">
        <v>27</v>
      </c>
      <c r="AC125" s="287">
        <f>IF('Ship Data Imperial'!E126&gt;0,'Ship Data Imperial'!E126,AD125)</f>
        <v>0</v>
      </c>
      <c r="AD125" s="287">
        <f>'Ship Data Metric'!E126*0.03280839895</f>
        <v>0</v>
      </c>
      <c r="AE125" s="284">
        <f>IF(AC125&gt;0,Standing!$C$75*0.45,0)</f>
        <v>0</v>
      </c>
      <c r="AF125" s="280">
        <f>IF(AC125&gt;0,Standing!$C$75*0.33,0)</f>
        <v>0</v>
      </c>
      <c r="AG125" s="281">
        <f>IF(AC125&gt;0,Standing!$C$75*0.2,0)</f>
        <v>0</v>
      </c>
      <c r="AH125" s="282">
        <f>IF(AC125&gt;0,Standing!$C$75*0.5,0)</f>
        <v>0</v>
      </c>
      <c r="AI125" s="283">
        <f>IF(AC125&gt;0,Standing!$C$75*0.2,0)</f>
        <v>0</v>
      </c>
      <c r="AJ125" s="284">
        <f>IF(AC125&gt;0,Standing!$C$75*0.25,0)</f>
        <v>0</v>
      </c>
      <c r="AK125" s="281">
        <f>IF(AC125&gt;0,Standing!$C$81*0.8,0)</f>
        <v>0</v>
      </c>
      <c r="AL125" s="282">
        <f t="shared" si="8"/>
        <v>0</v>
      </c>
      <c r="AM125" s="283">
        <f>IF(AC125&gt;0,Standing!$C$81*0.45,0)</f>
        <v>0</v>
      </c>
      <c r="AN125" s="284">
        <f>IF(AC125&gt;0,Standing!$C$81*0.55,0)</f>
        <v>0</v>
      </c>
      <c r="AO125" s="280">
        <f>IF(AC125&gt;0,Standing!$C$81*0.36,0)</f>
        <v>0</v>
      </c>
      <c r="AP125" s="281">
        <f>IF(AC125&gt;0,Standing!$C$81*0.9,0)</f>
        <v>0</v>
      </c>
      <c r="AQ125" s="282">
        <f>IF(AC125&gt;0,Standing!$C$85*0.9,0)</f>
        <v>0</v>
      </c>
      <c r="AR125" s="283">
        <f>IF(AC125&gt;0,Standing!$C$85*0.5,0)</f>
        <v>0</v>
      </c>
      <c r="AS125" s="284">
        <f>IF(AC125&gt;0,Standing!$C$85*0.55,0)</f>
        <v>0</v>
      </c>
      <c r="AT125" s="280">
        <f>IF(AC125&gt;0,Standing!$C$85*0.66,0)</f>
        <v>0</v>
      </c>
      <c r="AU125" s="281">
        <f>IF(AC125&gt;0,Standing!$C$75*0.25,0)</f>
        <v>0</v>
      </c>
      <c r="AV125" s="282">
        <f>IF(AC125&gt;0,Standing!$C$75*0.2,0)</f>
        <v>0</v>
      </c>
      <c r="AW125" s="283">
        <f>IF(AC125&gt;0,Standing!$C$26*0.33,0)</f>
        <v>0</v>
      </c>
      <c r="AX125" s="284">
        <f>IF(AC125&gt;0,Standing!$C$26*0.2,0)</f>
        <v>0</v>
      </c>
      <c r="AY125" s="280">
        <f>IF(AC125&gt;0,Standing!$C$26*0.25,0)</f>
        <v>0</v>
      </c>
      <c r="AZ125" s="281">
        <f>IF(AC125&gt;0,Standing!$C$26*0.33,0)</f>
        <v>0</v>
      </c>
      <c r="BA125" s="282">
        <f>IF(AC125&gt;0,Standing!$C$26*0.15,0)</f>
        <v>0</v>
      </c>
      <c r="BB125" s="283">
        <f>IF(AC125&gt;0,Standing!$C$26*0.125,0)</f>
        <v>0</v>
      </c>
      <c r="BC125" s="284">
        <f>IF(AC125&gt;0,Standing!$C$32*0.33,0)</f>
        <v>0</v>
      </c>
      <c r="BD125" s="280">
        <f>IF(AC125&gt;0,Standing!$C$32*0.5,0)</f>
        <v>0</v>
      </c>
      <c r="BE125" s="281">
        <f>IF(AC125&gt;0,Standing!$C$32*0.33,0)</f>
        <v>0</v>
      </c>
      <c r="BF125" s="282">
        <f>IF(AC125&gt;0,Standing!$C$32*0.33,0)</f>
        <v>0</v>
      </c>
      <c r="BG125" s="283">
        <f>IF(AC125&gt;0,Standing!$C$32*0.3,0)</f>
        <v>0</v>
      </c>
      <c r="BH125" s="284">
        <f>IF(AC125&gt;0,Standing!$C$32*0.4,0)</f>
        <v>0</v>
      </c>
      <c r="BI125" s="280">
        <f>IF(AC125&gt;0,Standing!$C$26*0.5,0)</f>
        <v>0</v>
      </c>
      <c r="BJ125" s="281">
        <f>IF(AC125&gt;0,Standing!$C$26*0.45,0)</f>
        <v>0</v>
      </c>
      <c r="BK125" s="282">
        <f>IF(AC125&gt;0,Standing!$C$26*0.5,0)</f>
        <v>0</v>
      </c>
      <c r="BL125" s="283">
        <f>IF(AC125&gt;0,Standing!$C$32*0.66,0)</f>
        <v>0</v>
      </c>
      <c r="BM125" s="281">
        <f>IF(AC125&gt;0,Standing!$C$32*0.85,0)</f>
        <v>0</v>
      </c>
      <c r="BN125" s="284">
        <f t="shared" si="9"/>
        <v>0</v>
      </c>
      <c r="BO125" s="282">
        <f>IF(AC125&gt;0,Standing!$C$32*0.5,0)</f>
        <v>0</v>
      </c>
      <c r="BP125" s="280">
        <f>IF(AC125&gt;0,Standing!$C$32*0.45,0)</f>
        <v>0</v>
      </c>
      <c r="BQ125" s="281">
        <f>IF(AC125&gt;0,Standing!$C$32*0.66,0)</f>
        <v>0</v>
      </c>
      <c r="BR125" s="282">
        <f>IF(AC125&gt;0,Standing!$C$32*0.33,0)</f>
        <v>0</v>
      </c>
      <c r="BS125" s="283">
        <f>IF(AC125&gt;0,Standing!$C$32*0.33,0)</f>
        <v>0</v>
      </c>
      <c r="BT125" s="284">
        <f>IF(AC125&gt;0,Standing!$C$32*0.45,0)</f>
        <v>0</v>
      </c>
      <c r="BU125" s="280">
        <f>IF(AC125&gt;0,Standing!$C$36*0.9,0)</f>
        <v>0</v>
      </c>
      <c r="BV125" s="281">
        <f>IF(AC125&gt;0,Standing!$C$36*0.45,0)</f>
        <v>0</v>
      </c>
      <c r="BW125" s="282">
        <f>IF(AC125&gt;0,Standing!$C$126*0.66,0)</f>
        <v>0</v>
      </c>
      <c r="BX125" s="283">
        <f>IF(AC125&gt;0,Standing!$C$126*0.66,0)</f>
        <v>0</v>
      </c>
      <c r="BY125" s="284">
        <f>IF(AC125&gt;0,Standing!$C$126*0.4,0)</f>
        <v>0</v>
      </c>
      <c r="BZ125" s="280">
        <f>IF(AC125&gt;0,Standing!$C$126*0.33,0)</f>
        <v>0</v>
      </c>
      <c r="CA125" s="281">
        <f>IF(AC125&gt;0,Standing!$C$132,0)</f>
        <v>0</v>
      </c>
      <c r="CB125" s="282">
        <f>IF(AC125&gt;0,Standing!$C$132*0.66,0)</f>
        <v>0</v>
      </c>
      <c r="CC125" s="283">
        <f>IF(AC125&gt;0,Standing!$C$132*0.5,0)</f>
        <v>0</v>
      </c>
      <c r="CD125" s="284">
        <f>IF(AC125&gt;0,Standing!$C$132*0.5,0)</f>
        <v>0</v>
      </c>
      <c r="CE125" s="280">
        <f>IF(AC125&gt;0,Standing!$C$132*0.5,0)</f>
        <v>0</v>
      </c>
      <c r="CF125" s="281">
        <f>IF(AC125&gt;0,Standing!$C$132*0.66,0)</f>
        <v>0</v>
      </c>
      <c r="CG125" s="282">
        <f>IF(AC125&gt;0,Standing!$C$132*0.5,0)</f>
        <v>0</v>
      </c>
      <c r="CH125" s="283">
        <f>IF(AC125&gt;0,Standing!$C$132*0.5,0)</f>
        <v>0</v>
      </c>
      <c r="CI125" s="284">
        <f>IF(AC125&gt;0,Standing!$C$132*0.5,0)</f>
        <v>0</v>
      </c>
      <c r="CJ125" s="280">
        <f>IF(AC125&gt;0,Standing!$C$132*0.5,0)</f>
        <v>0</v>
      </c>
      <c r="CK125" s="281">
        <f>IF(AC125&gt;0,Standing!$C$126*0.55,0)</f>
        <v>0</v>
      </c>
      <c r="CL125" s="282">
        <f>IF(AC125&gt;0,Standing!$C$126*0.75,0)</f>
        <v>0</v>
      </c>
      <c r="CM125" s="283">
        <f>IF(AC125&gt;0,Standing!$C$126*0.7,0)</f>
        <v>0</v>
      </c>
      <c r="CN125" s="284">
        <f>IF(AC125&gt;0,Standing!$C$126*0.33,0)</f>
        <v>0</v>
      </c>
      <c r="CO125" s="280">
        <f>IF(AC125&gt;0,Standing!$C$126*0.4,0)</f>
        <v>0</v>
      </c>
      <c r="CP125" s="281">
        <f>IF(AC125&gt;0,Standing!$C$26*0.33,0)</f>
        <v>0</v>
      </c>
      <c r="CQ125" s="282">
        <f>IF(AC125&gt;0,Standing!$C$26*0.2,0)</f>
        <v>0</v>
      </c>
      <c r="CR125" s="283">
        <f>IF(AC125&gt;0,Standing!$C$26*0.25,0)</f>
        <v>0</v>
      </c>
      <c r="CS125" s="285">
        <f>IF(AC125&gt;0,Standing!$C$26*0.2,0)</f>
        <v>0</v>
      </c>
      <c r="CT125" s="286"/>
      <c r="CU125" s="286" t="s">
        <v>27</v>
      </c>
    </row>
    <row r="126" ht="15.75" customHeight="1">
      <c r="A126" s="51"/>
      <c r="B126" s="296" t="s">
        <v>581</v>
      </c>
      <c r="C126" s="189">
        <f>Standing!$C$37</f>
        <v>2</v>
      </c>
      <c r="D126" s="218">
        <f t="shared" si="3"/>
        <v>0.6366182837</v>
      </c>
      <c r="E126" s="190">
        <f t="shared" si="4"/>
        <v>50.8</v>
      </c>
      <c r="F126" s="122">
        <f t="shared" si="5"/>
        <v>16.17010441</v>
      </c>
      <c r="G126" s="123">
        <f>C126/Introduction!$I$20</f>
        <v>0.02083333333</v>
      </c>
      <c r="H126" s="192">
        <f t="shared" si="6"/>
        <v>0.006631440455</v>
      </c>
      <c r="I126" s="124">
        <f>E126/Introduction!$I$20</f>
        <v>0.5291666667</v>
      </c>
      <c r="J126" s="125">
        <f t="shared" si="7"/>
        <v>0.1684385876</v>
      </c>
      <c r="K126" s="51"/>
      <c r="L126" s="51"/>
      <c r="M126" s="51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286"/>
      <c r="AB126" s="286" t="s">
        <v>28</v>
      </c>
      <c r="AC126" s="287">
        <f>IF('Ship Data Imperial'!E127&gt;0,'Ship Data Imperial'!E127,AD126)</f>
        <v>0</v>
      </c>
      <c r="AD126" s="287">
        <f>'Ship Data Metric'!E127*0.03280839895</f>
        <v>0</v>
      </c>
      <c r="AE126" s="284">
        <f>IF(AC126&gt;0,Standing!$C$75*0.65,0)</f>
        <v>0</v>
      </c>
      <c r="AF126" s="280">
        <f>IF(AC126&gt;0,Standing!$C$75*0.33,0)</f>
        <v>0</v>
      </c>
      <c r="AG126" s="281">
        <f>IF(AC126&gt;0,Standing!$C$75*0.2,0)</f>
        <v>0</v>
      </c>
      <c r="AH126" s="282">
        <f>IF(AC126&gt;0,Standing!$C$75*0.5,0)</f>
        <v>0</v>
      </c>
      <c r="AI126" s="283">
        <f>IF(AC126&gt;0,Standing!$C$75*0.2,0)</f>
        <v>0</v>
      </c>
      <c r="AJ126" s="284">
        <f>IF(AC126&gt;0,Standing!$C$75*0.25,0)</f>
        <v>0</v>
      </c>
      <c r="AK126" s="281">
        <f>IF(AC126&gt;0,Standing!$C$81*0.8,0)</f>
        <v>0</v>
      </c>
      <c r="AL126" s="282">
        <f t="shared" si="8"/>
        <v>0</v>
      </c>
      <c r="AM126" s="283">
        <f>IF(AC126&gt;0,Standing!$C$81*0.45,0)</f>
        <v>0</v>
      </c>
      <c r="AN126" s="284">
        <f>IF(AC126&gt;0,Standing!$C$81*0.55,0)</f>
        <v>0</v>
      </c>
      <c r="AO126" s="280">
        <f>IF(AC126&gt;0,Standing!$C$81*0.36,0)</f>
        <v>0</v>
      </c>
      <c r="AP126" s="281">
        <f>IF(AC126&gt;0,Standing!$C$81*0.9,0)</f>
        <v>0</v>
      </c>
      <c r="AQ126" s="282">
        <f>IF(AC126&gt;0,Standing!$C$85*0.9,0)</f>
        <v>0</v>
      </c>
      <c r="AR126" s="283">
        <f>IF(AC126&gt;0,Standing!$C$85*0.5,0)</f>
        <v>0</v>
      </c>
      <c r="AS126" s="284">
        <f>IF(AC126&gt;0,Standing!$C$85*0.55,0)</f>
        <v>0</v>
      </c>
      <c r="AT126" s="280">
        <f>IF(AC126&gt;0,Standing!$C$85*0.66,0)</f>
        <v>0</v>
      </c>
      <c r="AU126" s="281">
        <f>IF(AC126&gt;0,Standing!$C$75*0.25,0)</f>
        <v>0</v>
      </c>
      <c r="AV126" s="282">
        <f>IF(AC126&gt;0,Standing!$C$75*0.2,0)</f>
        <v>0</v>
      </c>
      <c r="AW126" s="283">
        <f>IF(AC126&gt;0,Standing!$C$26*0.33,0)</f>
        <v>0</v>
      </c>
      <c r="AX126" s="284">
        <f>IF(AC126&gt;0,Standing!$C$26*0.2,0)</f>
        <v>0</v>
      </c>
      <c r="AY126" s="280">
        <f>IF(AC126&gt;0,Standing!$C$26*0.25,0)</f>
        <v>0</v>
      </c>
      <c r="AZ126" s="281">
        <f>IF(AC126&gt;0,Standing!$C$26*0.33,0)</f>
        <v>0</v>
      </c>
      <c r="BA126" s="282">
        <f>IF(AC126&gt;0,Standing!$C$26*0.15,0)</f>
        <v>0</v>
      </c>
      <c r="BB126" s="283">
        <f>IF(AC126&gt;0,Standing!$C$26*0.125,0)</f>
        <v>0</v>
      </c>
      <c r="BC126" s="284">
        <f>IF(AC126&gt;0,Standing!$C$32*0.33,0)</f>
        <v>0</v>
      </c>
      <c r="BD126" s="280">
        <f>IF(AC126&gt;0,Standing!$C$32*0.5,0)</f>
        <v>0</v>
      </c>
      <c r="BE126" s="281">
        <f>IF(AC126&gt;0,Standing!$C$32*0.33,0)</f>
        <v>0</v>
      </c>
      <c r="BF126" s="282">
        <f>IF(AC126&gt;0,Standing!$C$32*0.33,0)</f>
        <v>0</v>
      </c>
      <c r="BG126" s="283">
        <f>IF(AC126&gt;0,Standing!$C$32*0.3,0)</f>
        <v>0</v>
      </c>
      <c r="BH126" s="284">
        <f>IF(AC126&gt;0,Standing!$C$32*0.4,0)</f>
        <v>0</v>
      </c>
      <c r="BI126" s="280">
        <f>IF(AC126&gt;0,Standing!$C$26*0.75,0)</f>
        <v>0</v>
      </c>
      <c r="BJ126" s="281">
        <f>IF(AC126&gt;0,Standing!$C$26*0.65,0)</f>
        <v>0</v>
      </c>
      <c r="BK126" s="282">
        <f>IF(AC126&gt;0,Standing!$C$26*0.5,0)</f>
        <v>0</v>
      </c>
      <c r="BL126" s="283">
        <f>IF(AC126&gt;0,Standing!$C$32*0.66,0)</f>
        <v>0</v>
      </c>
      <c r="BM126" s="281">
        <f>IF(AC126&gt;0,Standing!$C$32*0.85,0)</f>
        <v>0</v>
      </c>
      <c r="BN126" s="284">
        <f t="shared" si="9"/>
        <v>0</v>
      </c>
      <c r="BO126" s="282">
        <f>IF(AC126&gt;0,Standing!$C$32*0.45,0)</f>
        <v>0</v>
      </c>
      <c r="BP126" s="280">
        <f>IF(AC126&gt;0,Standing!$C$32*0.45,0)</f>
        <v>0</v>
      </c>
      <c r="BQ126" s="281">
        <f>IF(AC126&gt;0,Standing!$C$32*0.66,0)</f>
        <v>0</v>
      </c>
      <c r="BR126" s="282">
        <f>IF(AC126&gt;0,Standing!$C$32*0.33,0)</f>
        <v>0</v>
      </c>
      <c r="BS126" s="283">
        <f>IF(AC126&gt;0,Standing!$C$32*0.33,0)</f>
        <v>0</v>
      </c>
      <c r="BT126" s="284">
        <f>IF(AC126&gt;0,Standing!$C$32*0.45,0)</f>
        <v>0</v>
      </c>
      <c r="BU126" s="280">
        <f>IF(AC126&gt;0,Standing!$C$36*0.9,0)</f>
        <v>0</v>
      </c>
      <c r="BV126" s="281">
        <f>IF(AC126&gt;0,Standing!$C$36*0.45,0)</f>
        <v>0</v>
      </c>
      <c r="BW126" s="282">
        <f>IF(AC126&gt;0,Standing!$C$126*0.66,0)</f>
        <v>0</v>
      </c>
      <c r="BX126" s="283">
        <f>IF(AC126&gt;0,Standing!$C$126*0.66,0)</f>
        <v>0</v>
      </c>
      <c r="BY126" s="284">
        <f>IF(AC126&gt;0,Standing!$C$126*0.4,0)</f>
        <v>0</v>
      </c>
      <c r="BZ126" s="280">
        <f>IF(AC126&gt;0,Standing!$C$126*0.33,0)</f>
        <v>0</v>
      </c>
      <c r="CA126" s="281">
        <f>IF(AC126&gt;0,Standing!$C$132,0)</f>
        <v>0</v>
      </c>
      <c r="CB126" s="282">
        <f>IF(AC126&gt;0,Standing!$C$132*0.66,0)</f>
        <v>0</v>
      </c>
      <c r="CC126" s="283">
        <f>IF(AC126&gt;0,Standing!$C$132*0.5,0)</f>
        <v>0</v>
      </c>
      <c r="CD126" s="284">
        <f>IF(AC126&gt;0,Standing!$C$132*0.5,0)</f>
        <v>0</v>
      </c>
      <c r="CE126" s="280">
        <f>IF(AC126&gt;0,Standing!$C$132*0.5,0)</f>
        <v>0</v>
      </c>
      <c r="CF126" s="281">
        <f>IF(AC126&gt;0,Standing!$C$132*0.66,0)</f>
        <v>0</v>
      </c>
      <c r="CG126" s="282">
        <f>IF(AC126&gt;0,Standing!$C$132*0.5,0)</f>
        <v>0</v>
      </c>
      <c r="CH126" s="283">
        <f>IF(AC126&gt;0,Standing!$C$132*0.5,0)</f>
        <v>0</v>
      </c>
      <c r="CI126" s="284">
        <f>IF(AC126&gt;0,Standing!$C$132*0.5,0)</f>
        <v>0</v>
      </c>
      <c r="CJ126" s="280">
        <f>IF(AC126&gt;0,Standing!$C$132*0.5,0)</f>
        <v>0</v>
      </c>
      <c r="CK126" s="281">
        <f>IF(AC126&gt;0,Standing!$C$126*0.55,0)</f>
        <v>0</v>
      </c>
      <c r="CL126" s="282">
        <f>IF(AC126&gt;0,Standing!$C$126*0.75,0)</f>
        <v>0</v>
      </c>
      <c r="CM126" s="283">
        <f>IF(AC126&gt;0,Standing!$C$126*0.7,0)</f>
        <v>0</v>
      </c>
      <c r="CN126" s="284">
        <f>IF(AC126&gt;0,Standing!$C$126*0.33,0)</f>
        <v>0</v>
      </c>
      <c r="CO126" s="280">
        <f>IF(AC126&gt;0,Standing!$C$126*0.4,0)</f>
        <v>0</v>
      </c>
      <c r="CP126" s="281">
        <f>IF(AC126&gt;0,Standing!$C$26*0.33,0)</f>
        <v>0</v>
      </c>
      <c r="CQ126" s="282">
        <f>IF(AC126&gt;0,Standing!$C$26*0.2,0)</f>
        <v>0</v>
      </c>
      <c r="CR126" s="283">
        <f>IF(AC126&gt;0,Standing!$C$26*0.25,0)</f>
        <v>0</v>
      </c>
      <c r="CS126" s="285">
        <f>IF(AC126&gt;0,Standing!$C$26*0.2,0)</f>
        <v>0</v>
      </c>
      <c r="CT126" s="286"/>
      <c r="CU126" s="286" t="s">
        <v>28</v>
      </c>
    </row>
    <row r="127" ht="15.75" customHeight="1">
      <c r="A127" s="51"/>
      <c r="B127" s="296" t="s">
        <v>582</v>
      </c>
      <c r="C127" s="189">
        <f>IF(Standing!$C$37*0.5&gt;1.5,Standing!$C$37*0.5,1.5)</f>
        <v>1.5</v>
      </c>
      <c r="D127" s="218">
        <f t="shared" si="3"/>
        <v>0.4774637128</v>
      </c>
      <c r="E127" s="190">
        <f t="shared" si="4"/>
        <v>38.1</v>
      </c>
      <c r="F127" s="122">
        <f t="shared" si="5"/>
        <v>12.1275783</v>
      </c>
      <c r="G127" s="123">
        <f>C127/Introduction!$I$20</f>
        <v>0.015625</v>
      </c>
      <c r="H127" s="192">
        <f t="shared" si="6"/>
        <v>0.004973580341</v>
      </c>
      <c r="I127" s="124">
        <f>E127/Introduction!$I$20</f>
        <v>0.396875</v>
      </c>
      <c r="J127" s="125">
        <f t="shared" si="7"/>
        <v>0.1263289407</v>
      </c>
      <c r="K127" s="51"/>
      <c r="L127" s="51"/>
      <c r="M127" s="51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286"/>
      <c r="AB127" s="286" t="s">
        <v>29</v>
      </c>
      <c r="AC127" s="287">
        <f>IF('Ship Data Imperial'!E128&gt;0,'Ship Data Imperial'!E128,AD127)</f>
        <v>0</v>
      </c>
      <c r="AD127" s="287">
        <f>'Ship Data Metric'!E128*0.03280839895</f>
        <v>0</v>
      </c>
      <c r="AE127" s="284">
        <f>IF(AC127&gt;0,Standing!$C$75*0.65,0)</f>
        <v>0</v>
      </c>
      <c r="AF127" s="280">
        <f>IF(AC127&gt;0,Standing!$C$75*0.33,0)</f>
        <v>0</v>
      </c>
      <c r="AG127" s="281">
        <f>IF(AC127&gt;0,Standing!$C$75*0.2,0)</f>
        <v>0</v>
      </c>
      <c r="AH127" s="282">
        <f>IF(AC127&gt;0,Standing!$C$75*0.5,0)</f>
        <v>0</v>
      </c>
      <c r="AI127" s="283">
        <f>IF(AC127&gt;0,Standing!$C$75*0.2,0)</f>
        <v>0</v>
      </c>
      <c r="AJ127" s="284">
        <f>IF(AC127&gt;0,Standing!$C$75*0.25,0)</f>
        <v>0</v>
      </c>
      <c r="AK127" s="281">
        <f>IF(AC127&gt;0,Standing!$C$81*0.8,0)</f>
        <v>0</v>
      </c>
      <c r="AL127" s="282">
        <f t="shared" si="8"/>
        <v>0</v>
      </c>
      <c r="AM127" s="283">
        <f>IF(AC127&gt;0,Standing!$C$81*0.45,0)</f>
        <v>0</v>
      </c>
      <c r="AN127" s="284">
        <f>IF(AC127&gt;0,Standing!$C$81*0.55,0)</f>
        <v>0</v>
      </c>
      <c r="AO127" s="280">
        <f>IF(AC127&gt;0,Standing!$C$81*0.36,0)</f>
        <v>0</v>
      </c>
      <c r="AP127" s="281">
        <f>IF(AC127&gt;0,Standing!$C$81*0.9,0)</f>
        <v>0</v>
      </c>
      <c r="AQ127" s="282">
        <f>IF(AC127&gt;0,Standing!$C$85*0.9,0)</f>
        <v>0</v>
      </c>
      <c r="AR127" s="283">
        <f>IF(AC127&gt;0,Standing!$C$85*0.5,0)</f>
        <v>0</v>
      </c>
      <c r="AS127" s="284">
        <f>IF(AC127&gt;0,Standing!$C$85*0.55,0)</f>
        <v>0</v>
      </c>
      <c r="AT127" s="280">
        <f>IF(AC127&gt;0,Standing!$C$85*0.66,0)</f>
        <v>0</v>
      </c>
      <c r="AU127" s="281">
        <f>IF(AC127&gt;0,Standing!$C$75*0.25,0)</f>
        <v>0</v>
      </c>
      <c r="AV127" s="282">
        <f>IF(AC127&gt;0,Standing!$C$75*0.2,0)</f>
        <v>0</v>
      </c>
      <c r="AW127" s="283">
        <f>IF(AC127&gt;0,Standing!$C$26*0.33,0)</f>
        <v>0</v>
      </c>
      <c r="AX127" s="284">
        <f>IF(AC127&gt;0,Standing!$C$26*0.2,0)</f>
        <v>0</v>
      </c>
      <c r="AY127" s="280">
        <f>IF(AC127&gt;0,Standing!$C$26*0.25,0)</f>
        <v>0</v>
      </c>
      <c r="AZ127" s="281">
        <f>IF(AC127&gt;0,Standing!$C$26*0.33,0)</f>
        <v>0</v>
      </c>
      <c r="BA127" s="282">
        <f>IF(AC127&gt;0,Standing!$C$26*0.15,0)</f>
        <v>0</v>
      </c>
      <c r="BB127" s="283">
        <f>IF(AC127&gt;0,Standing!$C$26*0.125,0)</f>
        <v>0</v>
      </c>
      <c r="BC127" s="284">
        <f>IF(AC127&gt;0,Standing!$C$32*0.33,0)</f>
        <v>0</v>
      </c>
      <c r="BD127" s="280">
        <f>IF(AC127&gt;0,Standing!$C$32*0.5,0)</f>
        <v>0</v>
      </c>
      <c r="BE127" s="281">
        <f>IF(AC127&gt;0,Standing!$C$32*0.33,0)</f>
        <v>0</v>
      </c>
      <c r="BF127" s="282">
        <f>IF(AC127&gt;0,Standing!$C$32*0.33,0)</f>
        <v>0</v>
      </c>
      <c r="BG127" s="283">
        <f>IF(AC127&gt;0,Standing!$C$32*0.3,0)</f>
        <v>0</v>
      </c>
      <c r="BH127" s="284">
        <f>IF(AC127&gt;0,Standing!$C$32*0.4,0)</f>
        <v>0</v>
      </c>
      <c r="BI127" s="280">
        <f>IF(AC127&gt;0,Standing!$C$26*0.75,0)</f>
        <v>0</v>
      </c>
      <c r="BJ127" s="281">
        <f>IF(AC127&gt;0,Standing!$C$26*0.65,0)</f>
        <v>0</v>
      </c>
      <c r="BK127" s="282">
        <f>IF(AC127&gt;0,Standing!$C$26*0.5,0)</f>
        <v>0</v>
      </c>
      <c r="BL127" s="283">
        <f>IF(AC127&gt;0,Standing!$C$32*0.66,0)</f>
        <v>0</v>
      </c>
      <c r="BM127" s="281">
        <f>IF(AC127&gt;0,Standing!$C$32*0.85,0)</f>
        <v>0</v>
      </c>
      <c r="BN127" s="284">
        <f t="shared" si="9"/>
        <v>0</v>
      </c>
      <c r="BO127" s="282">
        <f>IF(AC127&gt;0,Standing!$C$32*0.45,0)</f>
        <v>0</v>
      </c>
      <c r="BP127" s="280">
        <f>IF(AC127&gt;0,Standing!$C$32*0.45,0)</f>
        <v>0</v>
      </c>
      <c r="BQ127" s="281">
        <f>IF(AC127&gt;0,Standing!$C$32*0.66,0)</f>
        <v>0</v>
      </c>
      <c r="BR127" s="282">
        <f>IF(AC127&gt;0,Standing!$C$32*0.33,0)</f>
        <v>0</v>
      </c>
      <c r="BS127" s="283">
        <f>IF(AC127&gt;0,Standing!$C$32*0.375,0)</f>
        <v>0</v>
      </c>
      <c r="BT127" s="284">
        <f>IF(AC127&gt;0,Standing!$C$32*0.45,0)</f>
        <v>0</v>
      </c>
      <c r="BU127" s="280">
        <f>IF(AC127&gt;0,Standing!$C$36*0.9,0)</f>
        <v>0</v>
      </c>
      <c r="BV127" s="281">
        <f>IF(AC127&gt;0,Standing!$C$36*0.45,0)</f>
        <v>0</v>
      </c>
      <c r="BW127" s="282">
        <f>IF(AC127&gt;0,Standing!$C$126*0.66,0)</f>
        <v>0</v>
      </c>
      <c r="BX127" s="283">
        <f>IF(AC127&gt;0,Standing!$C$126*0.66,0)</f>
        <v>0</v>
      </c>
      <c r="BY127" s="284">
        <f>IF(AC127&gt;0,Standing!$C$126*0.4,0)</f>
        <v>0</v>
      </c>
      <c r="BZ127" s="280">
        <f>IF(AC127&gt;0,Standing!$C$126*0.33,0)</f>
        <v>0</v>
      </c>
      <c r="CA127" s="281">
        <f>IF(AC127&gt;0,Standing!$C$132,0)</f>
        <v>0</v>
      </c>
      <c r="CB127" s="282">
        <f>IF(AC127&gt;0,Standing!$C$132*0.66,0)</f>
        <v>0</v>
      </c>
      <c r="CC127" s="283">
        <f>IF(AC127&gt;0,Standing!$C$132*0.5,0)</f>
        <v>0</v>
      </c>
      <c r="CD127" s="284">
        <f>IF(AC127&gt;0,Standing!$C$132*0.5,0)</f>
        <v>0</v>
      </c>
      <c r="CE127" s="280">
        <f>IF(AC127&gt;0,Standing!$C$132*0.5,0)</f>
        <v>0</v>
      </c>
      <c r="CF127" s="281">
        <f>IF(AC127&gt;0,Standing!$C$132*0.66,0)</f>
        <v>0</v>
      </c>
      <c r="CG127" s="282">
        <f>IF(AC127&gt;0,Standing!$C$132*0.5,0)</f>
        <v>0</v>
      </c>
      <c r="CH127" s="283">
        <f>IF(AC127&gt;0,Standing!$C$132*0.5,0)</f>
        <v>0</v>
      </c>
      <c r="CI127" s="284">
        <f>IF(AC127&gt;0,Standing!$C$132*0.5,0)</f>
        <v>0</v>
      </c>
      <c r="CJ127" s="280">
        <f>IF(AC127&gt;0,Standing!$C$132*0.5,0)</f>
        <v>0</v>
      </c>
      <c r="CK127" s="281">
        <f>IF(AC127&gt;0,Standing!$C$126*0.55,0)</f>
        <v>0</v>
      </c>
      <c r="CL127" s="282">
        <f>IF(AC127&gt;0,Standing!$C$126*0.75,0)</f>
        <v>0</v>
      </c>
      <c r="CM127" s="283">
        <f>IF(AC127&gt;0,Standing!$C$126*0.7,0)</f>
        <v>0</v>
      </c>
      <c r="CN127" s="284">
        <f>IF(AC127&gt;0,Standing!$C$126*0.33,0)</f>
        <v>0</v>
      </c>
      <c r="CO127" s="280">
        <f>IF(AC127&gt;0,Standing!$C$126*0.4,0)</f>
        <v>0</v>
      </c>
      <c r="CP127" s="281">
        <f>IF(AC127&gt;0,Standing!$C$26*0.33,0)</f>
        <v>0</v>
      </c>
      <c r="CQ127" s="282">
        <f>IF(AC127&gt;0,Standing!$C$26*0.2,0)</f>
        <v>0</v>
      </c>
      <c r="CR127" s="283">
        <f>IF(AC127&gt;0,Standing!$C$26*0.25,0)</f>
        <v>0</v>
      </c>
      <c r="CS127" s="285">
        <f>IF(AC127&gt;0,Standing!$C$26*0.2,0)</f>
        <v>0</v>
      </c>
      <c r="CT127" s="286"/>
      <c r="CU127" s="286" t="s">
        <v>29</v>
      </c>
    </row>
    <row r="128" ht="15.75" customHeight="1">
      <c r="A128" s="51"/>
      <c r="B128" s="296" t="s">
        <v>583</v>
      </c>
      <c r="C128" s="189">
        <f>IF(Standing!$C$37*0.2&gt;1,Standing!$C$37*0.2,1)</f>
        <v>1</v>
      </c>
      <c r="D128" s="218">
        <f t="shared" si="3"/>
        <v>0.3183091418</v>
      </c>
      <c r="E128" s="190">
        <f t="shared" si="4"/>
        <v>25.4</v>
      </c>
      <c r="F128" s="122">
        <f t="shared" si="5"/>
        <v>8.085052203</v>
      </c>
      <c r="G128" s="123">
        <f>C128/Introduction!$I$20</f>
        <v>0.01041666667</v>
      </c>
      <c r="H128" s="192">
        <f t="shared" si="6"/>
        <v>0.003315720227</v>
      </c>
      <c r="I128" s="124">
        <f>E128/Introduction!$I$20</f>
        <v>0.2645833333</v>
      </c>
      <c r="J128" s="125">
        <f t="shared" si="7"/>
        <v>0.08421929378</v>
      </c>
      <c r="K128" s="51"/>
      <c r="L128" s="51"/>
      <c r="M128" s="51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286"/>
      <c r="AB128" s="158" t="s">
        <v>51</v>
      </c>
      <c r="AC128" s="287">
        <f>IF('Ship Data Imperial'!E129&gt;0,'Ship Data Imperial'!E129,AD128)</f>
        <v>0</v>
      </c>
      <c r="AD128" s="287">
        <f>'Ship Data Metric'!E129*0.03280839895</f>
        <v>0</v>
      </c>
      <c r="AE128" s="284">
        <f>IF(AC128&gt;0,Standing!$C$75*0.65,0)</f>
        <v>0</v>
      </c>
      <c r="AF128" s="280">
        <f>IF(AC128&gt;0,Standing!$C$75*0.33,0)</f>
        <v>0</v>
      </c>
      <c r="AG128" s="281">
        <f>IF(AC128&gt;0,Standing!$C$75*0.2,0)</f>
        <v>0</v>
      </c>
      <c r="AH128" s="282">
        <f>IF(AC128&gt;0,Standing!$C$75*0.5,0)</f>
        <v>0</v>
      </c>
      <c r="AI128" s="283">
        <f>IF(AC128&gt;0,Standing!$C$75*0.2,0)</f>
        <v>0</v>
      </c>
      <c r="AJ128" s="284">
        <f>IF(AC128&gt;0,Standing!$C$75*0.25,0)</f>
        <v>0</v>
      </c>
      <c r="AK128" s="281">
        <f>IF(AC128&gt;0,Standing!$C$81*0.8,0)</f>
        <v>0</v>
      </c>
      <c r="AL128" s="282">
        <f t="shared" si="8"/>
        <v>0</v>
      </c>
      <c r="AM128" s="283">
        <f>IF(AC128&gt;0,Standing!$C$81*0.45,0)</f>
        <v>0</v>
      </c>
      <c r="AN128" s="284">
        <f>IF(AC128&gt;0,Standing!$C$81*0.55,0)</f>
        <v>0</v>
      </c>
      <c r="AO128" s="280">
        <f>IF(AC128&gt;0,Standing!$C$81*0.36,0)</f>
        <v>0</v>
      </c>
      <c r="AP128" s="281">
        <f>IF(AC128&gt;0,Standing!$C$81*0.9,0)</f>
        <v>0</v>
      </c>
      <c r="AQ128" s="282">
        <f>IF(AC128&gt;0,Standing!$C$85*0.9,0)</f>
        <v>0</v>
      </c>
      <c r="AR128" s="283">
        <f>IF(AC128&gt;0,Standing!$C$85*0.5,0)</f>
        <v>0</v>
      </c>
      <c r="AS128" s="284">
        <f>IF(AC128&gt;0,Standing!$C$85*0.55,0)</f>
        <v>0</v>
      </c>
      <c r="AT128" s="280">
        <f>IF(AC128&gt;0,Standing!$C$85*0.66,0)</f>
        <v>0</v>
      </c>
      <c r="AU128" s="281">
        <f>IF(AC128&gt;0,Standing!$C$75*0.25,0)</f>
        <v>0</v>
      </c>
      <c r="AV128" s="282">
        <f>IF(AC128&gt;0,Standing!$C$75*0.2,0)</f>
        <v>0</v>
      </c>
      <c r="AW128" s="283">
        <f>IF(AC128&gt;0,Standing!$C$26*0.33,0)</f>
        <v>0</v>
      </c>
      <c r="AX128" s="284">
        <f>IF(AC128&gt;0,Standing!$C$26*0.2,0)</f>
        <v>0</v>
      </c>
      <c r="AY128" s="280">
        <f>IF(AC128&gt;0,Standing!$C$26*0.25,0)</f>
        <v>0</v>
      </c>
      <c r="AZ128" s="281">
        <f>IF(AC128&gt;0,Standing!$C$26*0.33,0)</f>
        <v>0</v>
      </c>
      <c r="BA128" s="282">
        <f>IF(AC128&gt;0,Standing!$C$26*0.15,0)</f>
        <v>0</v>
      </c>
      <c r="BB128" s="283">
        <f>IF(AC128&gt;0,Standing!$C$26*0.125,0)</f>
        <v>0</v>
      </c>
      <c r="BC128" s="284">
        <f>IF(AC128&gt;0,Standing!$C$32*0.33,0)</f>
        <v>0</v>
      </c>
      <c r="BD128" s="280">
        <f>IF(AC128&gt;0,Standing!$C$32*0.5,0)</f>
        <v>0</v>
      </c>
      <c r="BE128" s="281">
        <f>IF(AC128&gt;0,Standing!$C$32*0.33,0)</f>
        <v>0</v>
      </c>
      <c r="BF128" s="282">
        <f>IF(AC128&gt;0,Standing!$C$32*0.33,0)</f>
        <v>0</v>
      </c>
      <c r="BG128" s="283">
        <f>IF(AC128&gt;0,Standing!$C$32*0.3,0)</f>
        <v>0</v>
      </c>
      <c r="BH128" s="284">
        <f>IF(AC128&gt;0,Standing!$C$32*0.4,0)</f>
        <v>0</v>
      </c>
      <c r="BI128" s="280">
        <f>IF(AC128&gt;0,Standing!$C$26*0.75,0)</f>
        <v>0</v>
      </c>
      <c r="BJ128" s="281">
        <f>IF(AC128&gt;0,Standing!$C$26*0.65,0)</f>
        <v>0</v>
      </c>
      <c r="BK128" s="282">
        <f>IF(AC128&gt;0,Standing!$C$26*0.5,0)</f>
        <v>0</v>
      </c>
      <c r="BL128" s="283">
        <f>IF(AC128&gt;0,Standing!$C$32*0.66,0)</f>
        <v>0</v>
      </c>
      <c r="BM128" s="281">
        <f>IF(AC128&gt;0,Standing!$C$32*0.85,0)</f>
        <v>0</v>
      </c>
      <c r="BN128" s="284">
        <f t="shared" si="9"/>
        <v>0</v>
      </c>
      <c r="BO128" s="282">
        <f>IF(AC128&gt;0,Standing!$C$32*0.45,0)</f>
        <v>0</v>
      </c>
      <c r="BP128" s="280">
        <f>IF(AC128&gt;0,Standing!$C$32*0.45,0)</f>
        <v>0</v>
      </c>
      <c r="BQ128" s="281">
        <f>IF(AC128&gt;0,Standing!$C$32*0.66,0)</f>
        <v>0</v>
      </c>
      <c r="BR128" s="282">
        <f>IF(AC128&gt;0,Standing!$C$32*0.33,0)</f>
        <v>0</v>
      </c>
      <c r="BS128" s="283">
        <f>IF(AC128&gt;0,Standing!$C$32*0.375,0)</f>
        <v>0</v>
      </c>
      <c r="BT128" s="284">
        <f>IF(AC128&gt;0,Standing!$C$32*0.45,0)</f>
        <v>0</v>
      </c>
      <c r="BU128" s="280">
        <f>IF(AC128&gt;0,Standing!$C$36*0.9,0)</f>
        <v>0</v>
      </c>
      <c r="BV128" s="281">
        <f>IF(AC128&gt;0,Standing!$C$36*0.45,0)</f>
        <v>0</v>
      </c>
      <c r="BW128" s="282">
        <f>IF(AC128&gt;0,Standing!$C$126*0.66,0)</f>
        <v>0</v>
      </c>
      <c r="BX128" s="283">
        <f>IF(AC128&gt;0,Standing!$C$126*0.66,0)</f>
        <v>0</v>
      </c>
      <c r="BY128" s="284">
        <f>IF(AC128&gt;0,Standing!$C$126*0.4,0)</f>
        <v>0</v>
      </c>
      <c r="BZ128" s="280">
        <f>IF(AC128&gt;0,Standing!$C$126*0.33,0)</f>
        <v>0</v>
      </c>
      <c r="CA128" s="281">
        <f>IF(AC128&gt;0,Standing!$C$132,0)</f>
        <v>0</v>
      </c>
      <c r="CB128" s="282">
        <f>IF(AC128&gt;0,Standing!$C$132*0.66,0)</f>
        <v>0</v>
      </c>
      <c r="CC128" s="283">
        <f>IF(AC128&gt;0,Standing!$C$132*0.5,0)</f>
        <v>0</v>
      </c>
      <c r="CD128" s="284">
        <f>IF(AC128&gt;0,Standing!$C$132*0.5,0)</f>
        <v>0</v>
      </c>
      <c r="CE128" s="280">
        <f>IF(AC128&gt;0,Standing!$C$132*0.5,0)</f>
        <v>0</v>
      </c>
      <c r="CF128" s="281">
        <f>IF(AC128&gt;0,Standing!$C$132*0.66,0)</f>
        <v>0</v>
      </c>
      <c r="CG128" s="282">
        <f>IF(AC128&gt;0,Standing!$C$132*0.5,0)</f>
        <v>0</v>
      </c>
      <c r="CH128" s="283">
        <f>IF(AC128&gt;0,Standing!$C$132*0.5,0)</f>
        <v>0</v>
      </c>
      <c r="CI128" s="284">
        <f>IF(AC128&gt;0,Standing!$C$132*0.5,0)</f>
        <v>0</v>
      </c>
      <c r="CJ128" s="280">
        <f>IF(AC128&gt;0,Standing!$C$132*0.5,0)</f>
        <v>0</v>
      </c>
      <c r="CK128" s="281">
        <f>IF(AC128&gt;0,Standing!$C$126*0.55,0)</f>
        <v>0</v>
      </c>
      <c r="CL128" s="282">
        <f>IF(AC128&gt;0,Standing!$C$126*0.75,0)</f>
        <v>0</v>
      </c>
      <c r="CM128" s="283">
        <f>IF(AC128&gt;0,Standing!$C$126*0.7,0)</f>
        <v>0</v>
      </c>
      <c r="CN128" s="284">
        <f>IF(AC128&gt;0,Standing!$C$126*0.33,0)</f>
        <v>0</v>
      </c>
      <c r="CO128" s="280">
        <f>IF(AC128&gt;0,Standing!$C$126*0.4,0)</f>
        <v>0</v>
      </c>
      <c r="CP128" s="281">
        <f>IF(AC128&gt;0,Standing!$C$26*0.33,0)</f>
        <v>0</v>
      </c>
      <c r="CQ128" s="282">
        <f>IF(AC128&gt;0,Standing!$C$26*0.2,0)</f>
        <v>0</v>
      </c>
      <c r="CR128" s="283">
        <f>IF(AC128&gt;0,Standing!$C$26*0.25,0)</f>
        <v>0</v>
      </c>
      <c r="CS128" s="285">
        <f>IF(AC128&gt;0,Standing!$C$26*0.2,0)</f>
        <v>0</v>
      </c>
      <c r="CT128" s="286"/>
      <c r="CU128" s="158" t="s">
        <v>51</v>
      </c>
    </row>
    <row r="129" ht="15.75" customHeight="1">
      <c r="A129" s="51"/>
      <c r="B129" s="297" t="s">
        <v>584</v>
      </c>
      <c r="C129" s="189">
        <f>Standing!$C$26*0.25</f>
        <v>1.473375984</v>
      </c>
      <c r="D129" s="218">
        <f t="shared" si="3"/>
        <v>0.4689890452</v>
      </c>
      <c r="E129" s="190">
        <f t="shared" si="4"/>
        <v>37.42375</v>
      </c>
      <c r="F129" s="122">
        <f t="shared" si="5"/>
        <v>11.91232175</v>
      </c>
      <c r="G129" s="123">
        <f>C129/Introduction!$I$20</f>
        <v>0.0153476665</v>
      </c>
      <c r="H129" s="192">
        <f t="shared" si="6"/>
        <v>0.004885302554</v>
      </c>
      <c r="I129" s="124">
        <f>E129/Introduction!$I$20</f>
        <v>0.3898307292</v>
      </c>
      <c r="J129" s="125">
        <f t="shared" si="7"/>
        <v>0.1240866849</v>
      </c>
      <c r="K129" s="51"/>
      <c r="L129" s="51"/>
      <c r="M129" s="51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286" t="s">
        <v>58</v>
      </c>
      <c r="AB129" s="286" t="s">
        <v>24</v>
      </c>
      <c r="AC129" s="287">
        <f>IF('Ship Data Imperial'!E130&gt;0,'Ship Data Imperial'!E130,AD129)</f>
        <v>0</v>
      </c>
      <c r="AD129" s="287">
        <f>'Ship Data Metric'!E130*0.03280839895</f>
        <v>0</v>
      </c>
      <c r="AE129" s="284">
        <f>IF(AC129&gt;0,Standing!$C$75*0.45,0)</f>
        <v>0</v>
      </c>
      <c r="AF129" s="280">
        <f>IF(AC129&gt;0,Standing!$C$75*0.25,0)</f>
        <v>0</v>
      </c>
      <c r="AG129" s="281">
        <f>IF(AC129&gt;0,Standing!$C$75*0.165,0)</f>
        <v>0</v>
      </c>
      <c r="AH129" s="282">
        <f>IF(AC129&gt;0,Standing!$C$75*0.5,0)</f>
        <v>0</v>
      </c>
      <c r="AI129" s="283">
        <f>IF(AC129&gt;0,Standing!$C$75*0.16,0)</f>
        <v>0</v>
      </c>
      <c r="AJ129" s="284">
        <f>IF(AC129&gt;0,Standing!$C$75*0.2,0)</f>
        <v>0</v>
      </c>
      <c r="AK129" s="281">
        <f>IF(AC129&gt;0,Standing!$C$81*0.66,0)</f>
        <v>0</v>
      </c>
      <c r="AL129" s="282">
        <f t="shared" si="8"/>
        <v>0</v>
      </c>
      <c r="AM129" s="283">
        <f>IF(AC129&gt;0,Standing!$C$81*0.45,0)</f>
        <v>0</v>
      </c>
      <c r="AN129" s="284">
        <f>IF(AC129&gt;0,Standing!$C$81*0.55,0)</f>
        <v>0</v>
      </c>
      <c r="AO129" s="280">
        <f>IF(AC129&gt;0,Standing!$C$81*0.36,0)</f>
        <v>0</v>
      </c>
      <c r="AP129" s="281">
        <f>IF(AC129&gt;0,Standing!$C$81,0)</f>
        <v>0</v>
      </c>
      <c r="AQ129" s="282">
        <f>IF(AC129&gt;0,Standing!$C$85*0.9,0)</f>
        <v>0</v>
      </c>
      <c r="AR129" s="283">
        <f>IF(AC129&gt;0,Standing!$C$85*0.5,0)</f>
        <v>0</v>
      </c>
      <c r="AS129" s="284">
        <f>IF(AC129&gt;0,Standing!$C$85*0.55,0)</f>
        <v>0</v>
      </c>
      <c r="AT129" s="280">
        <f>IF(AC129&gt;0,Standing!$C$85*0.66,0)</f>
        <v>0</v>
      </c>
      <c r="AU129" s="281">
        <f>IF(AC129&gt;0,Standing!$C$75*0.2,0)</f>
        <v>0</v>
      </c>
      <c r="AV129" s="282">
        <f>IF(AC129&gt;0,Standing!$C$75*0.2,0)</f>
        <v>0</v>
      </c>
      <c r="AW129" s="283">
        <f>IF(AC129&gt;0,Standing!$C$26*0.33,0)</f>
        <v>0</v>
      </c>
      <c r="AX129" s="284">
        <f>IF(AC129&gt;0,Standing!$C$26*0.2,0)</f>
        <v>0</v>
      </c>
      <c r="AY129" s="280">
        <f>IF(AC129&gt;0,Standing!$C$26*0.25,0)</f>
        <v>0</v>
      </c>
      <c r="AZ129" s="281">
        <f>IF(AC129&gt;0,Standing!$C$26*0.33,0)</f>
        <v>0</v>
      </c>
      <c r="BA129" s="282">
        <f>IF(AC129&gt;0,Standing!$C$26*0.15,0)</f>
        <v>0</v>
      </c>
      <c r="BB129" s="283">
        <f>IF(AC129&gt;0,Standing!$C$26*0.125,0)</f>
        <v>0</v>
      </c>
      <c r="BC129" s="284">
        <f>IF(AC129&gt;0,Standing!$C$32*0.33,0)</f>
        <v>0</v>
      </c>
      <c r="BD129" s="280">
        <f>IF(AC129&gt;0,Standing!$C$32*0.5,0)</f>
        <v>0</v>
      </c>
      <c r="BE129" s="281">
        <f>IF(AC129&gt;0,Standing!$C$32*0.33,0)</f>
        <v>0</v>
      </c>
      <c r="BF129" s="282">
        <f>IF(AC129&gt;0,Standing!$C$32*0.33,0)</f>
        <v>0</v>
      </c>
      <c r="BG129" s="283">
        <f>IF(AC129&gt;0,Standing!$C$32*0.25,0)</f>
        <v>0</v>
      </c>
      <c r="BH129" s="284">
        <f>IF(AC129&gt;0,Standing!$C$32*0.33,0)</f>
        <v>0</v>
      </c>
      <c r="BI129" s="280">
        <f>IF(AC129&gt;0,Standing!$C$26*0.5,0)</f>
        <v>0</v>
      </c>
      <c r="BJ129" s="281">
        <f>IF(AC129&gt;0,Standing!$C$26*0.45,0)</f>
        <v>0</v>
      </c>
      <c r="BK129" s="282">
        <f>IF(AC129&gt;0,Standing!$C$26*0.5,0)</f>
        <v>0</v>
      </c>
      <c r="BL129" s="283">
        <f>IF(AC129&gt;0,Standing!$C$32*0.66,0)</f>
        <v>0</v>
      </c>
      <c r="BM129" s="281">
        <f>IF(AC129&gt;0,Standing!$C$32*0.9,0)</f>
        <v>0</v>
      </c>
      <c r="BN129" s="284">
        <f t="shared" si="9"/>
        <v>0</v>
      </c>
      <c r="BO129" s="282">
        <f>IF(AC129&gt;0,Standing!$C$32*0.5,0)</f>
        <v>0</v>
      </c>
      <c r="BP129" s="280">
        <f>IF(AC129&gt;0,Standing!$C$32*0.45,0)</f>
        <v>0</v>
      </c>
      <c r="BQ129" s="281">
        <f>IF(AC129&gt;0,Standing!$C$32*0.66,0)</f>
        <v>0</v>
      </c>
      <c r="BR129" s="282">
        <f>IF(AC129&gt;0,Standing!$C$32*0.33,0)</f>
        <v>0</v>
      </c>
      <c r="BS129" s="283">
        <f>IF(AC129&gt;0,Standing!$C$32*0.33,0)</f>
        <v>0</v>
      </c>
      <c r="BT129" s="284">
        <f>IF(AC129&gt;0,Standing!$C$32*0.45,0)</f>
        <v>0</v>
      </c>
      <c r="BU129" s="280">
        <f>IF(AC129&gt;0,Standing!$C$36*0.9,0)</f>
        <v>0</v>
      </c>
      <c r="BV129" s="281">
        <f>IF(AC129&gt;0,Standing!$C$36*0.45,0)</f>
        <v>0</v>
      </c>
      <c r="BW129" s="282">
        <f>IF(AC129&gt;0,Standing!$C$126*0.66,0)</f>
        <v>0</v>
      </c>
      <c r="BX129" s="283">
        <f>IF(AC129&gt;0,Standing!$C$126*0.66,0)</f>
        <v>0</v>
      </c>
      <c r="BY129" s="284">
        <f>IF(AC129&gt;0,Standing!$C$126*0.4,0)</f>
        <v>0</v>
      </c>
      <c r="BZ129" s="280">
        <f>IF(AC129&gt;0,Standing!$C$126*0.33,0)</f>
        <v>0</v>
      </c>
      <c r="CA129" s="281">
        <f>IF(AC129&gt;0,Standing!$C$132*0.8,0)</f>
        <v>0</v>
      </c>
      <c r="CB129" s="282">
        <f>IF(AC129&gt;0,Standing!$C$132*0.66,0)</f>
        <v>0</v>
      </c>
      <c r="CC129" s="283">
        <f>IF(AC129&gt;0,Standing!$C$132*0.5,0)</f>
        <v>0</v>
      </c>
      <c r="CD129" s="284">
        <f>IF(AC129&gt;0,Standing!$C$132*0.5,0)</f>
        <v>0</v>
      </c>
      <c r="CE129" s="280">
        <f>IF(AC129&gt;0,Standing!$C$132*0.4,0)</f>
        <v>0</v>
      </c>
      <c r="CF129" s="281">
        <f>IF(AC129&gt;0,Standing!$C$132*0.66,0)</f>
        <v>0</v>
      </c>
      <c r="CG129" s="282">
        <f>IF(AC129&gt;0,Standing!$C$132*0.5,0)</f>
        <v>0</v>
      </c>
      <c r="CH129" s="283">
        <f>IF(AC129&gt;0,Standing!$C$132*0.5,0)</f>
        <v>0</v>
      </c>
      <c r="CI129" s="284">
        <f>IF(AC129&gt;0,Standing!$C$132*0.5,0)</f>
        <v>0</v>
      </c>
      <c r="CJ129" s="280">
        <f>IF(AC129&gt;0,Standing!$C$132*0.5,0)</f>
        <v>0</v>
      </c>
      <c r="CK129" s="281">
        <f>IF(AC129&gt;0,Standing!$C$126*0.55,0)</f>
        <v>0</v>
      </c>
      <c r="CL129" s="282">
        <f>IF(AC129&gt;0,Standing!$C$126*0.75,0)</f>
        <v>0</v>
      </c>
      <c r="CM129" s="283">
        <f>IF(AC129&gt;0,Standing!$C$126*0.7,0)</f>
        <v>0</v>
      </c>
      <c r="CN129" s="284">
        <f>IF(AC129&gt;0,Standing!$C$126*0.33,0)</f>
        <v>0</v>
      </c>
      <c r="CO129" s="280">
        <f>IF(AC129&gt;0,Standing!$C$126*0.4,0)</f>
        <v>0</v>
      </c>
      <c r="CP129" s="281">
        <f>IF(AC129&gt;0,Standing!$C$26*0.25,0)</f>
        <v>0</v>
      </c>
      <c r="CQ129" s="282">
        <f>IF(AC129&gt;0,Standing!$C$26*0.165,0)</f>
        <v>0</v>
      </c>
      <c r="CR129" s="283">
        <f>IF(AC129&gt;0,Standing!$C$26*0.2,0)</f>
        <v>0</v>
      </c>
      <c r="CS129" s="285">
        <f>IF(AC129&gt;0,Standing!$C$26*0.16,0)</f>
        <v>0</v>
      </c>
      <c r="CT129" s="286" t="s">
        <v>58</v>
      </c>
      <c r="CU129" s="286" t="s">
        <v>24</v>
      </c>
    </row>
    <row r="130" ht="15.75" customHeight="1">
      <c r="A130" s="51"/>
      <c r="B130" s="296" t="s">
        <v>585</v>
      </c>
      <c r="C130" s="189">
        <f>Standing!$C$26*0.19</f>
        <v>1.119765748</v>
      </c>
      <c r="D130" s="218">
        <f t="shared" si="3"/>
        <v>0.3564316743</v>
      </c>
      <c r="E130" s="190">
        <f t="shared" si="4"/>
        <v>28.44205</v>
      </c>
      <c r="F130" s="122">
        <f t="shared" si="5"/>
        <v>9.053364528</v>
      </c>
      <c r="G130" s="123">
        <f>C130/Introduction!$I$20</f>
        <v>0.01166422654</v>
      </c>
      <c r="H130" s="192">
        <f t="shared" si="6"/>
        <v>0.003712829941</v>
      </c>
      <c r="I130" s="124">
        <f>E130/Introduction!$I$20</f>
        <v>0.2962713542</v>
      </c>
      <c r="J130" s="125">
        <f t="shared" si="7"/>
        <v>0.0943058805</v>
      </c>
      <c r="K130" s="51"/>
      <c r="L130" s="51"/>
      <c r="M130" s="51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286"/>
      <c r="AB130" s="286" t="s">
        <v>25</v>
      </c>
      <c r="AC130" s="287">
        <f>IF('Ship Data Imperial'!E131&gt;0,'Ship Data Imperial'!E131,AD130)</f>
        <v>0</v>
      </c>
      <c r="AD130" s="287">
        <f>'Ship Data Metric'!E131*0.03280839895</f>
        <v>0</v>
      </c>
      <c r="AE130" s="284">
        <f>IF(AC130&gt;0,Standing!$C$75*0.45,0)</f>
        <v>0</v>
      </c>
      <c r="AF130" s="280">
        <f>IF(AC130&gt;0,Standing!$C$75*0.25,0)</f>
        <v>0</v>
      </c>
      <c r="AG130" s="281">
        <f>IF(AC130&gt;0,Standing!$C$75*0.165,0)</f>
        <v>0</v>
      </c>
      <c r="AH130" s="282">
        <f>IF(AC130&gt;0,Standing!$C$75*0.5,0)</f>
        <v>0</v>
      </c>
      <c r="AI130" s="283">
        <f>IF(AC130&gt;0,Standing!$C$75*0.16,0)</f>
        <v>0</v>
      </c>
      <c r="AJ130" s="284">
        <f>IF(AC130&gt;0,Standing!$C$75*0.2,0)</f>
        <v>0</v>
      </c>
      <c r="AK130" s="281">
        <f>IF(AC130&gt;0,Standing!$C$81*0.66,0)</f>
        <v>0</v>
      </c>
      <c r="AL130" s="282">
        <f t="shared" si="8"/>
        <v>0</v>
      </c>
      <c r="AM130" s="283">
        <f>IF(AC130&gt;0,Standing!$C$81*0.45,0)</f>
        <v>0</v>
      </c>
      <c r="AN130" s="284">
        <f>IF(AC130&gt;0,Standing!$C$81*0.55,0)</f>
        <v>0</v>
      </c>
      <c r="AO130" s="280">
        <f>IF(AC130&gt;0,Standing!$C$81*0.36,0)</f>
        <v>0</v>
      </c>
      <c r="AP130" s="281">
        <f>IF(AC130&gt;0,Standing!$C$81,0)</f>
        <v>0</v>
      </c>
      <c r="AQ130" s="282">
        <f>IF(AC130&gt;0,Standing!$C$85*0.9,0)</f>
        <v>0</v>
      </c>
      <c r="AR130" s="283">
        <f>IF(AC130&gt;0,Standing!$C$85*0.5,0)</f>
        <v>0</v>
      </c>
      <c r="AS130" s="284">
        <f>IF(AC130&gt;0,Standing!$C$85*0.55,0)</f>
        <v>0</v>
      </c>
      <c r="AT130" s="280">
        <f>IF(AC130&gt;0,Standing!$C$85*0.66,0)</f>
        <v>0</v>
      </c>
      <c r="AU130" s="281">
        <f>IF(AC130&gt;0,Standing!$C$75*0.2,0)</f>
        <v>0</v>
      </c>
      <c r="AV130" s="282">
        <f>IF(AC130&gt;0,Standing!$C$75*0.2,0)</f>
        <v>0</v>
      </c>
      <c r="AW130" s="283">
        <f>IF(AC130&gt;0,Standing!$C$26*0.33,0)</f>
        <v>0</v>
      </c>
      <c r="AX130" s="284">
        <f>IF(AC130&gt;0,Standing!$C$26*0.2,0)</f>
        <v>0</v>
      </c>
      <c r="AY130" s="280">
        <f>IF(AC130&gt;0,Standing!$C$26*0.25,0)</f>
        <v>0</v>
      </c>
      <c r="AZ130" s="281">
        <f>IF(AC130&gt;0,Standing!$C$26*0.33,0)</f>
        <v>0</v>
      </c>
      <c r="BA130" s="282">
        <f>IF(AC130&gt;0,Standing!$C$26*0.15,0)</f>
        <v>0</v>
      </c>
      <c r="BB130" s="283">
        <f>IF(AC130&gt;0,Standing!$C$26*0.125,0)</f>
        <v>0</v>
      </c>
      <c r="BC130" s="284">
        <f>IF(AC130&gt;0,Standing!$C$32*0.33,0)</f>
        <v>0</v>
      </c>
      <c r="BD130" s="280">
        <f>IF(AC130&gt;0,Standing!$C$32*0.5,0)</f>
        <v>0</v>
      </c>
      <c r="BE130" s="281">
        <f>IF(AC130&gt;0,Standing!$C$32*0.33,0)</f>
        <v>0</v>
      </c>
      <c r="BF130" s="282">
        <f>IF(AC130&gt;0,Standing!$C$32*0.33,0)</f>
        <v>0</v>
      </c>
      <c r="BG130" s="283">
        <f>IF(AC130&gt;0,Standing!$C$32*0.25,0)</f>
        <v>0</v>
      </c>
      <c r="BH130" s="284">
        <f>IF(AC130&gt;0,Standing!$C$32*0.33,0)</f>
        <v>0</v>
      </c>
      <c r="BI130" s="280">
        <f>IF(AC130&gt;0,Standing!$C$26*0.5,0)</f>
        <v>0</v>
      </c>
      <c r="BJ130" s="281">
        <f>IF(AC130&gt;0,Standing!$C$26*0.45,0)</f>
        <v>0</v>
      </c>
      <c r="BK130" s="282">
        <f>IF(AC130&gt;0,Standing!$C$26*0.5,0)</f>
        <v>0</v>
      </c>
      <c r="BL130" s="283">
        <f>IF(AC130&gt;0,Standing!$C$32*0.66,0)</f>
        <v>0</v>
      </c>
      <c r="BM130" s="281">
        <f>IF(AC130&gt;0,Standing!$C$32*0.9,0)</f>
        <v>0</v>
      </c>
      <c r="BN130" s="284">
        <f t="shared" si="9"/>
        <v>0</v>
      </c>
      <c r="BO130" s="282">
        <f>IF(AC130&gt;0,Standing!$C$32*0.5,0)</f>
        <v>0</v>
      </c>
      <c r="BP130" s="280">
        <f>IF(AC130&gt;0,Standing!$C$32*0.45,0)</f>
        <v>0</v>
      </c>
      <c r="BQ130" s="281">
        <f>IF(AC130&gt;0,Standing!$C$32*0.66,0)</f>
        <v>0</v>
      </c>
      <c r="BR130" s="282">
        <f>IF(AC130&gt;0,Standing!$C$32*0.33,0)</f>
        <v>0</v>
      </c>
      <c r="BS130" s="283">
        <f>IF(AC130&gt;0,Standing!$C$32*0.33,0)</f>
        <v>0</v>
      </c>
      <c r="BT130" s="284">
        <f>IF(AC130&gt;0,Standing!$C$32*0.45,0)</f>
        <v>0</v>
      </c>
      <c r="BU130" s="280">
        <f>IF(AC130&gt;0,Standing!$C$36*0.9,0)</f>
        <v>0</v>
      </c>
      <c r="BV130" s="281">
        <f>IF(AC130&gt;0,Standing!$C$36*0.45,0)</f>
        <v>0</v>
      </c>
      <c r="BW130" s="282">
        <f>IF(AC130&gt;0,Standing!$C$126*0.66,0)</f>
        <v>0</v>
      </c>
      <c r="BX130" s="283">
        <f>IF(AC130&gt;0,Standing!$C$126*0.66,0)</f>
        <v>0</v>
      </c>
      <c r="BY130" s="284">
        <f>IF(AC130&gt;0,Standing!$C$126*0.4,0)</f>
        <v>0</v>
      </c>
      <c r="BZ130" s="280">
        <f>IF(AC130&gt;0,Standing!$C$126*0.33,0)</f>
        <v>0</v>
      </c>
      <c r="CA130" s="281">
        <f>IF(AC130&gt;0,Standing!$C$132*0.8,0)</f>
        <v>0</v>
      </c>
      <c r="CB130" s="282">
        <f>IF(AC130&gt;0,Standing!$C$132*0.66,0)</f>
        <v>0</v>
      </c>
      <c r="CC130" s="283">
        <f>IF(AC130&gt;0,Standing!$C$132*0.5,0)</f>
        <v>0</v>
      </c>
      <c r="CD130" s="284">
        <f>IF(AC130&gt;0,Standing!$C$132*0.5,0)</f>
        <v>0</v>
      </c>
      <c r="CE130" s="280">
        <f>IF(AC130&gt;0,Standing!$C$132*0.4,0)</f>
        <v>0</v>
      </c>
      <c r="CF130" s="281">
        <f>IF(AC130&gt;0,Standing!$C$132*0.66,0)</f>
        <v>0</v>
      </c>
      <c r="CG130" s="282">
        <f>IF(AC130&gt;0,Standing!$C$132*0.5,0)</f>
        <v>0</v>
      </c>
      <c r="CH130" s="283">
        <f>IF(AC130&gt;0,Standing!$C$132*0.5,0)</f>
        <v>0</v>
      </c>
      <c r="CI130" s="284">
        <f>IF(AC130&gt;0,Standing!$C$132*0.5,0)</f>
        <v>0</v>
      </c>
      <c r="CJ130" s="280">
        <f>IF(AC130&gt;0,Standing!$C$132*0.5,0)</f>
        <v>0</v>
      </c>
      <c r="CK130" s="281">
        <f>IF(AC130&gt;0,Standing!$C$126*0.55,0)</f>
        <v>0</v>
      </c>
      <c r="CL130" s="282">
        <f>IF(AC130&gt;0,Standing!$C$126*0.75,0)</f>
        <v>0</v>
      </c>
      <c r="CM130" s="283">
        <f>IF(AC130&gt;0,Standing!$C$126*0.7,0)</f>
        <v>0</v>
      </c>
      <c r="CN130" s="284">
        <f>IF(AC130&gt;0,Standing!$C$126*0.33,0)</f>
        <v>0</v>
      </c>
      <c r="CO130" s="280">
        <f>IF(AC130&gt;0,Standing!$C$126*0.4,0)</f>
        <v>0</v>
      </c>
      <c r="CP130" s="281">
        <f>IF(AC130&gt;0,Standing!$C$26*0.25,0)</f>
        <v>0</v>
      </c>
      <c r="CQ130" s="282">
        <f>IF(AC130&gt;0,Standing!$C$26*0.165,0)</f>
        <v>0</v>
      </c>
      <c r="CR130" s="283">
        <f>IF(AC130&gt;0,Standing!$C$26*0.2,0)</f>
        <v>0</v>
      </c>
      <c r="CS130" s="285">
        <f>IF(AC130&gt;0,Standing!$C$26*0.16,0)</f>
        <v>0</v>
      </c>
      <c r="CT130" s="286"/>
      <c r="CU130" s="286" t="s">
        <v>25</v>
      </c>
    </row>
    <row r="131" ht="15.75" customHeight="1">
      <c r="A131" s="51"/>
      <c r="B131" s="300" t="s">
        <v>586</v>
      </c>
      <c r="C131" s="189">
        <f>IF(Standing!$C$26*0.125&gt;1,Standing!$C$26*0.125,1)</f>
        <v>1</v>
      </c>
      <c r="D131" s="218">
        <f t="shared" si="3"/>
        <v>0.3183091418</v>
      </c>
      <c r="E131" s="190">
        <f t="shared" si="4"/>
        <v>25.4</v>
      </c>
      <c r="F131" s="122">
        <f t="shared" si="5"/>
        <v>8.085052203</v>
      </c>
      <c r="G131" s="123">
        <f>C131/Introduction!$I$20</f>
        <v>0.01041666667</v>
      </c>
      <c r="H131" s="192">
        <f t="shared" si="6"/>
        <v>0.003315720227</v>
      </c>
      <c r="I131" s="124">
        <f>E131/Introduction!$I$20</f>
        <v>0.2645833333</v>
      </c>
      <c r="J131" s="125">
        <f t="shared" si="7"/>
        <v>0.08421929378</v>
      </c>
      <c r="K131" s="51"/>
      <c r="L131" s="51"/>
      <c r="M131" s="51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286"/>
      <c r="AB131" s="286" t="s">
        <v>26</v>
      </c>
      <c r="AC131" s="287">
        <f>IF('Ship Data Imperial'!E132&gt;0,'Ship Data Imperial'!E132,AD131)</f>
        <v>0</v>
      </c>
      <c r="AD131" s="287">
        <f>'Ship Data Metric'!E132*0.03280839895</f>
        <v>0</v>
      </c>
      <c r="AE131" s="284">
        <f>IF(AC131&gt;0,Standing!$C$75*0.45,0)</f>
        <v>0</v>
      </c>
      <c r="AF131" s="280">
        <f>IF(AC131&gt;0,Standing!$C$75*0.25,0)</f>
        <v>0</v>
      </c>
      <c r="AG131" s="281">
        <f>IF(AC131&gt;0,Standing!$C$75*0.2,0)</f>
        <v>0</v>
      </c>
      <c r="AH131" s="282">
        <f>IF(AC131&gt;0,Standing!$C$75*0.5,0)</f>
        <v>0</v>
      </c>
      <c r="AI131" s="283">
        <f>IF(AC131&gt;0,Standing!$C$75*0.2,0)</f>
        <v>0</v>
      </c>
      <c r="AJ131" s="284">
        <f>IF(AC131&gt;0,Standing!$C$75*0.25,0)</f>
        <v>0</v>
      </c>
      <c r="AK131" s="281">
        <f>IF(AC131&gt;0,Standing!$C$81*0.8,0)</f>
        <v>0</v>
      </c>
      <c r="AL131" s="282">
        <f t="shared" si="8"/>
        <v>0</v>
      </c>
      <c r="AM131" s="283">
        <f>IF(AC131&gt;0,Standing!$C$81*0.45,0)</f>
        <v>0</v>
      </c>
      <c r="AN131" s="284">
        <f>IF(AC131&gt;0,Standing!$C$81*0.55,0)</f>
        <v>0</v>
      </c>
      <c r="AO131" s="280">
        <f>IF(AC131&gt;0,Standing!$C$81*0.36,0)</f>
        <v>0</v>
      </c>
      <c r="AP131" s="281">
        <f>IF(AC131&gt;0,Standing!$C$81*0.9,0)</f>
        <v>0</v>
      </c>
      <c r="AQ131" s="282">
        <f>IF(AC131&gt;0,Standing!$C$85*0.9,0)</f>
        <v>0</v>
      </c>
      <c r="AR131" s="283">
        <f>IF(AC131&gt;0,Standing!$C$85*0.5,0)</f>
        <v>0</v>
      </c>
      <c r="AS131" s="284">
        <f>IF(AC131&gt;0,Standing!$C$85*0.55,0)</f>
        <v>0</v>
      </c>
      <c r="AT131" s="280">
        <f>IF(AC131&gt;0,Standing!$C$85*0.66,0)</f>
        <v>0</v>
      </c>
      <c r="AU131" s="281">
        <f>IF(AC131&gt;0,Standing!$C$75*0.2,0)</f>
        <v>0</v>
      </c>
      <c r="AV131" s="282">
        <f>IF(AC131&gt;0,Standing!$C$75*0.2,0)</f>
        <v>0</v>
      </c>
      <c r="AW131" s="283">
        <f>IF(AC131&gt;0,Standing!$C$26*0.33,0)</f>
        <v>0</v>
      </c>
      <c r="AX131" s="284">
        <f>IF(AC131&gt;0,Standing!$C$26*0.2,0)</f>
        <v>0</v>
      </c>
      <c r="AY131" s="280">
        <f>IF(AC131&gt;0,Standing!$C$26*0.25,0)</f>
        <v>0</v>
      </c>
      <c r="AZ131" s="281">
        <f>IF(AC131&gt;0,Standing!$C$26*0.33,0)</f>
        <v>0</v>
      </c>
      <c r="BA131" s="282">
        <f>IF(AC131&gt;0,Standing!$C$26*0.15,0)</f>
        <v>0</v>
      </c>
      <c r="BB131" s="283">
        <f>IF(AC131&gt;0,Standing!$C$26*0.125,0)</f>
        <v>0</v>
      </c>
      <c r="BC131" s="284">
        <f>IF(AC131&gt;0,Standing!$C$32*0.33,0)</f>
        <v>0</v>
      </c>
      <c r="BD131" s="280">
        <f>IF(AC131&gt;0,Standing!$C$32*0.5,0)</f>
        <v>0</v>
      </c>
      <c r="BE131" s="281">
        <f>IF(AC131&gt;0,Standing!$C$32*0.33,0)</f>
        <v>0</v>
      </c>
      <c r="BF131" s="282">
        <f>IF(AC131&gt;0,Standing!$C$32*0.33,0)</f>
        <v>0</v>
      </c>
      <c r="BG131" s="283">
        <f>IF(AC131&gt;0,Standing!$C$32*0.25,0)</f>
        <v>0</v>
      </c>
      <c r="BH131" s="284">
        <f>IF(AC131&gt;0,Standing!$C$32*0.4,0)</f>
        <v>0</v>
      </c>
      <c r="BI131" s="280">
        <f>IF(AC131&gt;0,Standing!$C$26*0.5,0)</f>
        <v>0</v>
      </c>
      <c r="BJ131" s="281">
        <f>IF(AC131&gt;0,Standing!$C$26*0.45,0)</f>
        <v>0</v>
      </c>
      <c r="BK131" s="282">
        <f>IF(AC131&gt;0,Standing!$C$26*0.5,0)</f>
        <v>0</v>
      </c>
      <c r="BL131" s="283">
        <f>IF(AC131&gt;0,Standing!$C$32*0.66,0)</f>
        <v>0</v>
      </c>
      <c r="BM131" s="281">
        <f>IF(AC131&gt;0,Standing!$C$32*0.85,0)</f>
        <v>0</v>
      </c>
      <c r="BN131" s="284">
        <f t="shared" si="9"/>
        <v>0</v>
      </c>
      <c r="BO131" s="282">
        <f>IF(AC131&gt;0,Standing!$C$32*0.5,0)</f>
        <v>0</v>
      </c>
      <c r="BP131" s="280">
        <f>IF(AC131&gt;0,Standing!$C$32*0.45,0)</f>
        <v>0</v>
      </c>
      <c r="BQ131" s="281">
        <f>IF(AC131&gt;0,Standing!$C$32*0.66,0)</f>
        <v>0</v>
      </c>
      <c r="BR131" s="282">
        <f>IF(AC131&gt;0,Standing!$C$32*0.33,0)</f>
        <v>0</v>
      </c>
      <c r="BS131" s="283">
        <f>IF(AC131&gt;0,Standing!$C$32*0.33,0)</f>
        <v>0</v>
      </c>
      <c r="BT131" s="284">
        <f>IF(AC131&gt;0,Standing!$C$32*0.45,0)</f>
        <v>0</v>
      </c>
      <c r="BU131" s="280">
        <f>IF(AC131&gt;0,Standing!$C$36*0.9,0)</f>
        <v>0</v>
      </c>
      <c r="BV131" s="281">
        <f>IF(AC131&gt;0,Standing!$C$36*0.45,0)</f>
        <v>0</v>
      </c>
      <c r="BW131" s="282">
        <f>IF(AC131&gt;0,Standing!$C$126*0.66,0)</f>
        <v>0</v>
      </c>
      <c r="BX131" s="283">
        <f>IF(AC131&gt;0,Standing!$C$126*0.66,0)</f>
        <v>0</v>
      </c>
      <c r="BY131" s="284">
        <f>IF(AC131&gt;0,Standing!$C$126*0.4,0)</f>
        <v>0</v>
      </c>
      <c r="BZ131" s="280">
        <f>IF(AC131&gt;0,Standing!$C$126*0.33,0)</f>
        <v>0</v>
      </c>
      <c r="CA131" s="281">
        <f>IF(AC131&gt;0,Standing!$C$132*0.8,0)</f>
        <v>0</v>
      </c>
      <c r="CB131" s="282">
        <f>IF(AC131&gt;0,Standing!$C$132*0.66,0)</f>
        <v>0</v>
      </c>
      <c r="CC131" s="283">
        <f>IF(AC131&gt;0,Standing!$C$132*0.5,0)</f>
        <v>0</v>
      </c>
      <c r="CD131" s="284">
        <f>IF(AC131&gt;0,Standing!$C$132*0.5,0)</f>
        <v>0</v>
      </c>
      <c r="CE131" s="280">
        <f>IF(AC131&gt;0,Standing!$C$132*0.4,0)</f>
        <v>0</v>
      </c>
      <c r="CF131" s="281">
        <f>IF(AC131&gt;0,Standing!$C$132*0.66,0)</f>
        <v>0</v>
      </c>
      <c r="CG131" s="282">
        <f>IF(AC131&gt;0,Standing!$C$132*0.5,0)</f>
        <v>0</v>
      </c>
      <c r="CH131" s="283">
        <f>IF(AC131&gt;0,Standing!$C$132*0.5,0)</f>
        <v>0</v>
      </c>
      <c r="CI131" s="284">
        <f>IF(AC131&gt;0,Standing!$C$132*0.5,0)</f>
        <v>0</v>
      </c>
      <c r="CJ131" s="280">
        <f>IF(AC131&gt;0,Standing!$C$132*0.5,0)</f>
        <v>0</v>
      </c>
      <c r="CK131" s="281">
        <f>IF(AC131&gt;0,Standing!$C$126*0.55,0)</f>
        <v>0</v>
      </c>
      <c r="CL131" s="282">
        <f>IF(AC131&gt;0,Standing!$C$126*0.75,0)</f>
        <v>0</v>
      </c>
      <c r="CM131" s="283">
        <f>IF(AC131&gt;0,Standing!$C$126*0.7,0)</f>
        <v>0</v>
      </c>
      <c r="CN131" s="284">
        <f>IF(AC131&gt;0,Standing!$C$126*0.33,0)</f>
        <v>0</v>
      </c>
      <c r="CO131" s="280">
        <f>IF(AC131&gt;0,Standing!$C$126*0.4,0)</f>
        <v>0</v>
      </c>
      <c r="CP131" s="281">
        <f>IF(AC131&gt;0,Standing!$C$26*0.25,0)</f>
        <v>0</v>
      </c>
      <c r="CQ131" s="282">
        <f>IF(AC131&gt;0,Standing!$C$26*0.2,0)</f>
        <v>0</v>
      </c>
      <c r="CR131" s="283">
        <f>IF(AC131&gt;0,Standing!$C$26*0.25,0)</f>
        <v>0</v>
      </c>
      <c r="CS131" s="285">
        <f>IF(AC131&gt;0,Standing!$C$26*0.2,0)</f>
        <v>0</v>
      </c>
      <c r="CT131" s="286"/>
      <c r="CU131" s="286" t="s">
        <v>26</v>
      </c>
    </row>
    <row r="132" ht="15.75" customHeight="1">
      <c r="A132" s="51"/>
      <c r="B132" s="301" t="s">
        <v>587</v>
      </c>
      <c r="C132" s="189">
        <f>Standing!$C$26*0.5</f>
        <v>2.946751968</v>
      </c>
      <c r="D132" s="218">
        <f t="shared" si="3"/>
        <v>0.9379780903</v>
      </c>
      <c r="E132" s="190">
        <f t="shared" si="4"/>
        <v>74.8475</v>
      </c>
      <c r="F132" s="122">
        <f t="shared" si="5"/>
        <v>23.82464349</v>
      </c>
      <c r="G132" s="123">
        <f>C132/Introduction!$I$20</f>
        <v>0.03069533301</v>
      </c>
      <c r="H132" s="192">
        <f t="shared" si="6"/>
        <v>0.009770605107</v>
      </c>
      <c r="I132" s="124">
        <f>E132/Introduction!$I$20</f>
        <v>0.7796614583</v>
      </c>
      <c r="J132" s="125">
        <f t="shared" si="7"/>
        <v>0.2481733697</v>
      </c>
      <c r="K132" s="51"/>
      <c r="L132" s="51"/>
      <c r="M132" s="51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286"/>
      <c r="AB132" s="286" t="s">
        <v>27</v>
      </c>
      <c r="AC132" s="287">
        <f>IF('Ship Data Imperial'!E133&gt;0,'Ship Data Imperial'!E133,AD132)</f>
        <v>0</v>
      </c>
      <c r="AD132" s="287">
        <f>'Ship Data Metric'!E133*0.03280839895</f>
        <v>0</v>
      </c>
      <c r="AE132" s="284">
        <f>IF(AC132&gt;0,Standing!$C$75*0.45,0)</f>
        <v>0</v>
      </c>
      <c r="AF132" s="280">
        <f>IF(AC132&gt;0,Standing!$C$75*0.33,0)</f>
        <v>0</v>
      </c>
      <c r="AG132" s="281">
        <f>IF(AC132&gt;0,Standing!$C$75*0.2,0)</f>
        <v>0</v>
      </c>
      <c r="AH132" s="282">
        <f>IF(AC132&gt;0,Standing!$C$75*0.5,0)</f>
        <v>0</v>
      </c>
      <c r="AI132" s="283">
        <f>IF(AC132&gt;0,Standing!$C$75*0.2,0)</f>
        <v>0</v>
      </c>
      <c r="AJ132" s="284">
        <f>IF(AC132&gt;0,Standing!$C$75*0.25,0)</f>
        <v>0</v>
      </c>
      <c r="AK132" s="281">
        <f>IF(AC132&gt;0,Standing!$C$81*0.8,0)</f>
        <v>0</v>
      </c>
      <c r="AL132" s="282">
        <f t="shared" si="8"/>
        <v>0</v>
      </c>
      <c r="AM132" s="283">
        <f>IF(AC132&gt;0,Standing!$C$81*0.45,0)</f>
        <v>0</v>
      </c>
      <c r="AN132" s="284">
        <f>IF(AC132&gt;0,Standing!$C$81*0.55,0)</f>
        <v>0</v>
      </c>
      <c r="AO132" s="280">
        <f>IF(AC132&gt;0,Standing!$C$81*0.36,0)</f>
        <v>0</v>
      </c>
      <c r="AP132" s="281">
        <f>IF(AC132&gt;0,Standing!$C$81*0.9,0)</f>
        <v>0</v>
      </c>
      <c r="AQ132" s="282">
        <f>IF(AC132&gt;0,Standing!$C$85*0.9,0)</f>
        <v>0</v>
      </c>
      <c r="AR132" s="283">
        <f>IF(AC132&gt;0,Standing!$C$85*0.5,0)</f>
        <v>0</v>
      </c>
      <c r="AS132" s="284">
        <f>IF(AC132&gt;0,Standing!$C$85*0.55,0)</f>
        <v>0</v>
      </c>
      <c r="AT132" s="280">
        <f>IF(AC132&gt;0,Standing!$C$85*0.66,0)</f>
        <v>0</v>
      </c>
      <c r="AU132" s="281">
        <f>IF(AC132&gt;0,Standing!$C$75*0.25,0)</f>
        <v>0</v>
      </c>
      <c r="AV132" s="282">
        <f>IF(AC132&gt;0,Standing!$C$75*0.2,0)</f>
        <v>0</v>
      </c>
      <c r="AW132" s="283">
        <f>IF(AC132&gt;0,Standing!$C$26*0.33,0)</f>
        <v>0</v>
      </c>
      <c r="AX132" s="284">
        <f>IF(AC132&gt;0,Standing!$C$26*0.2,0)</f>
        <v>0</v>
      </c>
      <c r="AY132" s="280">
        <f>IF(AC132&gt;0,Standing!$C$26*0.25,0)</f>
        <v>0</v>
      </c>
      <c r="AZ132" s="281">
        <f>IF(AC132&gt;0,Standing!$C$26*0.33,0)</f>
        <v>0</v>
      </c>
      <c r="BA132" s="282">
        <f>IF(AC132&gt;0,Standing!$C$26*0.15,0)</f>
        <v>0</v>
      </c>
      <c r="BB132" s="283">
        <f>IF(AC132&gt;0,Standing!$C$26*0.125,0)</f>
        <v>0</v>
      </c>
      <c r="BC132" s="284">
        <f>IF(AC132&gt;0,Standing!$C$32*0.33,0)</f>
        <v>0</v>
      </c>
      <c r="BD132" s="280">
        <f>IF(AC132&gt;0,Standing!$C$32*0.5,0)</f>
        <v>0</v>
      </c>
      <c r="BE132" s="281">
        <f>IF(AC132&gt;0,Standing!$C$32*0.33,0)</f>
        <v>0</v>
      </c>
      <c r="BF132" s="282">
        <f>IF(AC132&gt;0,Standing!$C$32*0.33,0)</f>
        <v>0</v>
      </c>
      <c r="BG132" s="283">
        <f>IF(AC132&gt;0,Standing!$C$32*0.3,0)</f>
        <v>0</v>
      </c>
      <c r="BH132" s="284">
        <f>IF(AC132&gt;0,Standing!$C$32*0.4,0)</f>
        <v>0</v>
      </c>
      <c r="BI132" s="280">
        <f>IF(AC132&gt;0,Standing!$C$26*0.5,0)</f>
        <v>0</v>
      </c>
      <c r="BJ132" s="281">
        <f>IF(AC132&gt;0,Standing!$C$26*0.45,0)</f>
        <v>0</v>
      </c>
      <c r="BK132" s="282">
        <f>IF(AC132&gt;0,Standing!$C$26*0.5,0)</f>
        <v>0</v>
      </c>
      <c r="BL132" s="283">
        <f>IF(AC132&gt;0,Standing!$C$32*0.66,0)</f>
        <v>0</v>
      </c>
      <c r="BM132" s="281">
        <f>IF(AC132&gt;0,Standing!$C$32*0.85,0)</f>
        <v>0</v>
      </c>
      <c r="BN132" s="284">
        <f t="shared" si="9"/>
        <v>0</v>
      </c>
      <c r="BO132" s="282">
        <f>IF(AC132&gt;0,Standing!$C$32*0.5,0)</f>
        <v>0</v>
      </c>
      <c r="BP132" s="280">
        <f>IF(AC132&gt;0,Standing!$C$32*0.45,0)</f>
        <v>0</v>
      </c>
      <c r="BQ132" s="281">
        <f>IF(AC132&gt;0,Standing!$C$32*0.66,0)</f>
        <v>0</v>
      </c>
      <c r="BR132" s="282">
        <f>IF(AC132&gt;0,Standing!$C$32*0.33,0)</f>
        <v>0</v>
      </c>
      <c r="BS132" s="283">
        <f>IF(AC132&gt;0,Standing!$C$32*0.33,0)</f>
        <v>0</v>
      </c>
      <c r="BT132" s="284">
        <f>IF(AC132&gt;0,Standing!$C$32*0.45,0)</f>
        <v>0</v>
      </c>
      <c r="BU132" s="280">
        <f>IF(AC132&gt;0,Standing!$C$36*0.9,0)</f>
        <v>0</v>
      </c>
      <c r="BV132" s="281">
        <f>IF(AC132&gt;0,Standing!$C$36*0.45,0)</f>
        <v>0</v>
      </c>
      <c r="BW132" s="282">
        <f>IF(AC132&gt;0,Standing!$C$126*0.66,0)</f>
        <v>0</v>
      </c>
      <c r="BX132" s="283">
        <f>IF(AC132&gt;0,Standing!$C$126*0.66,0)</f>
        <v>0</v>
      </c>
      <c r="BY132" s="284">
        <f>IF(AC132&gt;0,Standing!$C$126*0.4,0)</f>
        <v>0</v>
      </c>
      <c r="BZ132" s="280">
        <f>IF(AC132&gt;0,Standing!$C$126*0.33,0)</f>
        <v>0</v>
      </c>
      <c r="CA132" s="281">
        <f>IF(AC132&gt;0,Standing!$C$132,0)</f>
        <v>0</v>
      </c>
      <c r="CB132" s="282">
        <f>IF(AC132&gt;0,Standing!$C$132*0.66,0)</f>
        <v>0</v>
      </c>
      <c r="CC132" s="283">
        <f>IF(AC132&gt;0,Standing!$C$132*0.5,0)</f>
        <v>0</v>
      </c>
      <c r="CD132" s="284">
        <f>IF(AC132&gt;0,Standing!$C$132*0.5,0)</f>
        <v>0</v>
      </c>
      <c r="CE132" s="280">
        <f>IF(AC132&gt;0,Standing!$C$132*0.5,0)</f>
        <v>0</v>
      </c>
      <c r="CF132" s="281">
        <f>IF(AC132&gt;0,Standing!$C$132*0.66,0)</f>
        <v>0</v>
      </c>
      <c r="CG132" s="282">
        <f>IF(AC132&gt;0,Standing!$C$132*0.5,0)</f>
        <v>0</v>
      </c>
      <c r="CH132" s="283">
        <f>IF(AC132&gt;0,Standing!$C$132*0.5,0)</f>
        <v>0</v>
      </c>
      <c r="CI132" s="284">
        <f>IF(AC132&gt;0,Standing!$C$132*0.5,0)</f>
        <v>0</v>
      </c>
      <c r="CJ132" s="280">
        <f>IF(AC132&gt;0,Standing!$C$132*0.5,0)</f>
        <v>0</v>
      </c>
      <c r="CK132" s="281">
        <f>IF(AC132&gt;0,Standing!$C$126*0.55,0)</f>
        <v>0</v>
      </c>
      <c r="CL132" s="282">
        <f>IF(AC132&gt;0,Standing!$C$126*0.75,0)</f>
        <v>0</v>
      </c>
      <c r="CM132" s="283">
        <f>IF(AC132&gt;0,Standing!$C$126*0.7,0)</f>
        <v>0</v>
      </c>
      <c r="CN132" s="284">
        <f>IF(AC132&gt;0,Standing!$C$126*0.33,0)</f>
        <v>0</v>
      </c>
      <c r="CO132" s="280">
        <f>IF(AC132&gt;0,Standing!$C$126*0.4,0)</f>
        <v>0</v>
      </c>
      <c r="CP132" s="281">
        <f>IF(AC132&gt;0,Standing!$C$26*0.33,0)</f>
        <v>0</v>
      </c>
      <c r="CQ132" s="282">
        <f>IF(AC132&gt;0,Standing!$C$26*0.2,0)</f>
        <v>0</v>
      </c>
      <c r="CR132" s="283">
        <f>IF(AC132&gt;0,Standing!$C$26*0.25,0)</f>
        <v>0</v>
      </c>
      <c r="CS132" s="285">
        <f>IF(AC132&gt;0,Standing!$C$26*0.2,0)</f>
        <v>0</v>
      </c>
      <c r="CT132" s="286"/>
      <c r="CU132" s="286" t="s">
        <v>27</v>
      </c>
    </row>
    <row r="133" ht="15.75" customHeight="1">
      <c r="A133" s="51"/>
      <c r="B133" s="302" t="s">
        <v>588</v>
      </c>
      <c r="C133" s="189">
        <f>Standing!$C$26*0.25</f>
        <v>1.473375984</v>
      </c>
      <c r="D133" s="218">
        <f t="shared" si="3"/>
        <v>0.4689890452</v>
      </c>
      <c r="E133" s="190">
        <f t="shared" si="4"/>
        <v>37.42375</v>
      </c>
      <c r="F133" s="122">
        <f t="shared" si="5"/>
        <v>11.91232175</v>
      </c>
      <c r="G133" s="123">
        <f>C133/Introduction!$I$20</f>
        <v>0.0153476665</v>
      </c>
      <c r="H133" s="192">
        <f t="shared" si="6"/>
        <v>0.004885302554</v>
      </c>
      <c r="I133" s="124">
        <f>E133/Introduction!$I$20</f>
        <v>0.3898307292</v>
      </c>
      <c r="J133" s="125">
        <f t="shared" si="7"/>
        <v>0.1240866849</v>
      </c>
      <c r="K133" s="51"/>
      <c r="L133" s="51"/>
      <c r="M133" s="51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286"/>
      <c r="AB133" s="286" t="s">
        <v>28</v>
      </c>
      <c r="AC133" s="287">
        <f>IF('Ship Data Imperial'!E134&gt;0,'Ship Data Imperial'!E134,AD133)</f>
        <v>0</v>
      </c>
      <c r="AD133" s="287">
        <f>'Ship Data Metric'!E134*0.03280839895</f>
        <v>0</v>
      </c>
      <c r="AE133" s="284">
        <f>IF(AC133&gt;0,Standing!$C$75*0.65,0)</f>
        <v>0</v>
      </c>
      <c r="AF133" s="280">
        <f>IF(AC133&gt;0,Standing!$C$75*0.33,0)</f>
        <v>0</v>
      </c>
      <c r="AG133" s="281">
        <f>IF(AC133&gt;0,Standing!$C$75*0.2,0)</f>
        <v>0</v>
      </c>
      <c r="AH133" s="282">
        <f>IF(AC133&gt;0,Standing!$C$75*0.5,0)</f>
        <v>0</v>
      </c>
      <c r="AI133" s="283">
        <f>IF(AC133&gt;0,Standing!$C$75*0.2,0)</f>
        <v>0</v>
      </c>
      <c r="AJ133" s="284">
        <f>IF(AC133&gt;0,Standing!$C$75*0.25,0)</f>
        <v>0</v>
      </c>
      <c r="AK133" s="281">
        <f>IF(AC133&gt;0,Standing!$C$81*0.8,0)</f>
        <v>0</v>
      </c>
      <c r="AL133" s="282">
        <f t="shared" si="8"/>
        <v>0</v>
      </c>
      <c r="AM133" s="283">
        <f>IF(AC133&gt;0,Standing!$C$81*0.45,0)</f>
        <v>0</v>
      </c>
      <c r="AN133" s="284">
        <f>IF(AC133&gt;0,Standing!$C$81*0.55,0)</f>
        <v>0</v>
      </c>
      <c r="AO133" s="280">
        <f>IF(AC133&gt;0,Standing!$C$81*0.36,0)</f>
        <v>0</v>
      </c>
      <c r="AP133" s="281">
        <f>IF(AC133&gt;0,Standing!$C$81*0.9,0)</f>
        <v>0</v>
      </c>
      <c r="AQ133" s="282">
        <f>IF(AC133&gt;0,Standing!$C$85*0.9,0)</f>
        <v>0</v>
      </c>
      <c r="AR133" s="283">
        <f>IF(AC133&gt;0,Standing!$C$85*0.5,0)</f>
        <v>0</v>
      </c>
      <c r="AS133" s="284">
        <f>IF(AC133&gt;0,Standing!$C$85*0.55,0)</f>
        <v>0</v>
      </c>
      <c r="AT133" s="280">
        <f>IF(AC133&gt;0,Standing!$C$85*0.66,0)</f>
        <v>0</v>
      </c>
      <c r="AU133" s="281">
        <f>IF(AC133&gt;0,Standing!$C$75*0.25,0)</f>
        <v>0</v>
      </c>
      <c r="AV133" s="282">
        <f>IF(AC133&gt;0,Standing!$C$75*0.2,0)</f>
        <v>0</v>
      </c>
      <c r="AW133" s="283">
        <f>IF(AC133&gt;0,Standing!$C$26*0.33,0)</f>
        <v>0</v>
      </c>
      <c r="AX133" s="284">
        <f>IF(AC133&gt;0,Standing!$C$26*0.2,0)</f>
        <v>0</v>
      </c>
      <c r="AY133" s="280">
        <f>IF(AC133&gt;0,Standing!$C$26*0.25,0)</f>
        <v>0</v>
      </c>
      <c r="AZ133" s="281">
        <f>IF(AC133&gt;0,Standing!$C$26*0.33,0)</f>
        <v>0</v>
      </c>
      <c r="BA133" s="282">
        <f>IF(AC133&gt;0,Standing!$C$26*0.15,0)</f>
        <v>0</v>
      </c>
      <c r="BB133" s="283">
        <f>IF(AC133&gt;0,Standing!$C$26*0.125,0)</f>
        <v>0</v>
      </c>
      <c r="BC133" s="284">
        <f>IF(AC133&gt;0,Standing!$C$32*0.33,0)</f>
        <v>0</v>
      </c>
      <c r="BD133" s="280">
        <f>IF(AC133&gt;0,Standing!$C$32*0.5,0)</f>
        <v>0</v>
      </c>
      <c r="BE133" s="281">
        <f>IF(AC133&gt;0,Standing!$C$32*0.33,0)</f>
        <v>0</v>
      </c>
      <c r="BF133" s="282">
        <f>IF(AC133&gt;0,Standing!$C$32*0.33,0)</f>
        <v>0</v>
      </c>
      <c r="BG133" s="283">
        <f>IF(AC133&gt;0,Standing!$C$32*0.3,0)</f>
        <v>0</v>
      </c>
      <c r="BH133" s="284">
        <f>IF(AC133&gt;0,Standing!$C$32*0.4,0)</f>
        <v>0</v>
      </c>
      <c r="BI133" s="280">
        <f>IF(AC133&gt;0,Standing!$C$26*0.75,0)</f>
        <v>0</v>
      </c>
      <c r="BJ133" s="281">
        <f>IF(AC133&gt;0,Standing!$C$26*0.65,0)</f>
        <v>0</v>
      </c>
      <c r="BK133" s="282">
        <f>IF(AC133&gt;0,Standing!$C$26*0.5,0)</f>
        <v>0</v>
      </c>
      <c r="BL133" s="283">
        <f>IF(AC133&gt;0,Standing!$C$32*0.66,0)</f>
        <v>0</v>
      </c>
      <c r="BM133" s="281">
        <f>IF(AC133&gt;0,Standing!$C$32*0.85,0)</f>
        <v>0</v>
      </c>
      <c r="BN133" s="284">
        <f t="shared" si="9"/>
        <v>0</v>
      </c>
      <c r="BO133" s="282">
        <f>IF(AC133&gt;0,Standing!$C$32*0.45,0)</f>
        <v>0</v>
      </c>
      <c r="BP133" s="280">
        <f>IF(AC133&gt;0,Standing!$C$32*0.45,0)</f>
        <v>0</v>
      </c>
      <c r="BQ133" s="281">
        <f>IF(AC133&gt;0,Standing!$C$32*0.66,0)</f>
        <v>0</v>
      </c>
      <c r="BR133" s="282">
        <f>IF(AC133&gt;0,Standing!$C$32*0.33,0)</f>
        <v>0</v>
      </c>
      <c r="BS133" s="283">
        <f>IF(AC133&gt;0,Standing!$C$32*0.33,0)</f>
        <v>0</v>
      </c>
      <c r="BT133" s="284">
        <f>IF(AC133&gt;0,Standing!$C$32*0.45,0)</f>
        <v>0</v>
      </c>
      <c r="BU133" s="280">
        <f>IF(AC133&gt;0,Standing!$C$36*0.9,0)</f>
        <v>0</v>
      </c>
      <c r="BV133" s="281">
        <f>IF(AC133&gt;0,Standing!$C$36*0.45,0)</f>
        <v>0</v>
      </c>
      <c r="BW133" s="282">
        <f>IF(AC133&gt;0,Standing!$C$126*0.66,0)</f>
        <v>0</v>
      </c>
      <c r="BX133" s="283">
        <f>IF(AC133&gt;0,Standing!$C$126*0.66,0)</f>
        <v>0</v>
      </c>
      <c r="BY133" s="284">
        <f>IF(AC133&gt;0,Standing!$C$126*0.4,0)</f>
        <v>0</v>
      </c>
      <c r="BZ133" s="280">
        <f>IF(AC133&gt;0,Standing!$C$126*0.33,0)</f>
        <v>0</v>
      </c>
      <c r="CA133" s="281">
        <f>IF(AC133&gt;0,Standing!$C$132,0)</f>
        <v>0</v>
      </c>
      <c r="CB133" s="282">
        <f>IF(AC133&gt;0,Standing!$C$132*0.66,0)</f>
        <v>0</v>
      </c>
      <c r="CC133" s="283">
        <f>IF(AC133&gt;0,Standing!$C$132*0.5,0)</f>
        <v>0</v>
      </c>
      <c r="CD133" s="284">
        <f>IF(AC133&gt;0,Standing!$C$132*0.5,0)</f>
        <v>0</v>
      </c>
      <c r="CE133" s="280">
        <f>IF(AC133&gt;0,Standing!$C$132*0.5,0)</f>
        <v>0</v>
      </c>
      <c r="CF133" s="281">
        <f>IF(AC133&gt;0,Standing!$C$132*0.66,0)</f>
        <v>0</v>
      </c>
      <c r="CG133" s="282">
        <f>IF(AC133&gt;0,Standing!$C$132*0.5,0)</f>
        <v>0</v>
      </c>
      <c r="CH133" s="283">
        <f>IF(AC133&gt;0,Standing!$C$132*0.5,0)</f>
        <v>0</v>
      </c>
      <c r="CI133" s="284">
        <f>IF(AC133&gt;0,Standing!$C$132*0.5,0)</f>
        <v>0</v>
      </c>
      <c r="CJ133" s="280">
        <f>IF(AC133&gt;0,Standing!$C$132*0.5,0)</f>
        <v>0</v>
      </c>
      <c r="CK133" s="281">
        <f>IF(AC133&gt;0,Standing!$C$126*0.55,0)</f>
        <v>0</v>
      </c>
      <c r="CL133" s="282">
        <f>IF(AC133&gt;0,Standing!$C$126*0.75,0)</f>
        <v>0</v>
      </c>
      <c r="CM133" s="283">
        <f>IF(AC133&gt;0,Standing!$C$126*0.7,0)</f>
        <v>0</v>
      </c>
      <c r="CN133" s="284">
        <f>IF(AC133&gt;0,Standing!$C$126*0.33,0)</f>
        <v>0</v>
      </c>
      <c r="CO133" s="280">
        <f>IF(AC133&gt;0,Standing!$C$126*0.4,0)</f>
        <v>0</v>
      </c>
      <c r="CP133" s="281">
        <f>IF(AC133&gt;0,Standing!$C$26*0.33,0)</f>
        <v>0</v>
      </c>
      <c r="CQ133" s="282">
        <f>IF(AC133&gt;0,Standing!$C$26*0.2,0)</f>
        <v>0</v>
      </c>
      <c r="CR133" s="283">
        <f>IF(AC133&gt;0,Standing!$C$26*0.25,0)</f>
        <v>0</v>
      </c>
      <c r="CS133" s="285">
        <f>IF(AC133&gt;0,Standing!$C$26*0.2,0)</f>
        <v>0</v>
      </c>
      <c r="CT133" s="286"/>
      <c r="CU133" s="286" t="s">
        <v>28</v>
      </c>
    </row>
    <row r="134" ht="15.75" customHeight="1">
      <c r="A134" s="51"/>
      <c r="B134" s="299" t="s">
        <v>589</v>
      </c>
      <c r="C134" s="189">
        <f>Standing!$C$26*0.33</f>
        <v>1.944856299</v>
      </c>
      <c r="D134" s="218">
        <f t="shared" si="3"/>
        <v>0.6190655396</v>
      </c>
      <c r="E134" s="190">
        <f t="shared" si="4"/>
        <v>49.39935</v>
      </c>
      <c r="F134" s="122">
        <f t="shared" si="5"/>
        <v>15.72426471</v>
      </c>
      <c r="G134" s="123">
        <f>C134/Introduction!$I$20</f>
        <v>0.02025891978</v>
      </c>
      <c r="H134" s="192">
        <f t="shared" si="6"/>
        <v>0.006448599371</v>
      </c>
      <c r="I134" s="124">
        <f>E134/Introduction!$I$20</f>
        <v>0.5145765625</v>
      </c>
      <c r="J134" s="125">
        <f t="shared" si="7"/>
        <v>0.163794424</v>
      </c>
      <c r="K134" s="51"/>
      <c r="L134" s="51"/>
      <c r="M134" s="51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286"/>
      <c r="AB134" s="286" t="s">
        <v>29</v>
      </c>
      <c r="AC134" s="287">
        <f>IF('Ship Data Imperial'!E135&gt;0,'Ship Data Imperial'!E135,AD134)</f>
        <v>0</v>
      </c>
      <c r="AD134" s="287">
        <f>'Ship Data Metric'!E135*0.03280839895</f>
        <v>0</v>
      </c>
      <c r="AE134" s="284">
        <f>IF(AC134&gt;0,Standing!$C$75*0.65,0)</f>
        <v>0</v>
      </c>
      <c r="AF134" s="280">
        <f>IF(AC134&gt;0,Standing!$C$75*0.33,0)</f>
        <v>0</v>
      </c>
      <c r="AG134" s="281">
        <f>IF(AC134&gt;0,Standing!$C$75*0.2,0)</f>
        <v>0</v>
      </c>
      <c r="AH134" s="282">
        <f>IF(AC134&gt;0,Standing!$C$75*0.5,0)</f>
        <v>0</v>
      </c>
      <c r="AI134" s="283">
        <f>IF(AC134&gt;0,Standing!$C$75*0.2,0)</f>
        <v>0</v>
      </c>
      <c r="AJ134" s="284">
        <f>IF(AC134&gt;0,Standing!$C$75*0.25,0)</f>
        <v>0</v>
      </c>
      <c r="AK134" s="281">
        <f>IF(AC134&gt;0,Standing!$C$81*0.8,0)</f>
        <v>0</v>
      </c>
      <c r="AL134" s="282">
        <f t="shared" si="8"/>
        <v>0</v>
      </c>
      <c r="AM134" s="283">
        <f>IF(AC134&gt;0,Standing!$C$81*0.45,0)</f>
        <v>0</v>
      </c>
      <c r="AN134" s="284">
        <f>IF(AC134&gt;0,Standing!$C$81*0.55,0)</f>
        <v>0</v>
      </c>
      <c r="AO134" s="280">
        <f>IF(AC134&gt;0,Standing!$C$81*0.36,0)</f>
        <v>0</v>
      </c>
      <c r="AP134" s="281">
        <f>IF(AC134&gt;0,Standing!$C$81*0.9,0)</f>
        <v>0</v>
      </c>
      <c r="AQ134" s="282">
        <f>IF(AC134&gt;0,Standing!$C$85*0.9,0)</f>
        <v>0</v>
      </c>
      <c r="AR134" s="283">
        <f>IF(AC134&gt;0,Standing!$C$85*0.5,0)</f>
        <v>0</v>
      </c>
      <c r="AS134" s="284">
        <f>IF(AC134&gt;0,Standing!$C$85*0.55,0)</f>
        <v>0</v>
      </c>
      <c r="AT134" s="280">
        <f>IF(AC134&gt;0,Standing!$C$85*0.66,0)</f>
        <v>0</v>
      </c>
      <c r="AU134" s="281">
        <f>IF(AC134&gt;0,Standing!$C$75*0.25,0)</f>
        <v>0</v>
      </c>
      <c r="AV134" s="282">
        <f>IF(AC134&gt;0,Standing!$C$75*0.2,0)</f>
        <v>0</v>
      </c>
      <c r="AW134" s="283">
        <f>IF(AC134&gt;0,Standing!$C$26*0.33,0)</f>
        <v>0</v>
      </c>
      <c r="AX134" s="284">
        <f>IF(AC134&gt;0,Standing!$C$26*0.2,0)</f>
        <v>0</v>
      </c>
      <c r="AY134" s="280">
        <f>IF(AC134&gt;0,Standing!$C$26*0.25,0)</f>
        <v>0</v>
      </c>
      <c r="AZ134" s="281">
        <f>IF(AC134&gt;0,Standing!$C$26*0.33,0)</f>
        <v>0</v>
      </c>
      <c r="BA134" s="282">
        <f>IF(AC134&gt;0,Standing!$C$26*0.15,0)</f>
        <v>0</v>
      </c>
      <c r="BB134" s="283">
        <f>IF(AC134&gt;0,Standing!$C$26*0.125,0)</f>
        <v>0</v>
      </c>
      <c r="BC134" s="284">
        <f>IF(AC134&gt;0,Standing!$C$32*0.33,0)</f>
        <v>0</v>
      </c>
      <c r="BD134" s="280">
        <f>IF(AC134&gt;0,Standing!$C$32*0.5,0)</f>
        <v>0</v>
      </c>
      <c r="BE134" s="281">
        <f>IF(AC134&gt;0,Standing!$C$32*0.33,0)</f>
        <v>0</v>
      </c>
      <c r="BF134" s="282">
        <f>IF(AC134&gt;0,Standing!$C$32*0.33,0)</f>
        <v>0</v>
      </c>
      <c r="BG134" s="283">
        <f>IF(AC134&gt;0,Standing!$C$32*0.3,0)</f>
        <v>0</v>
      </c>
      <c r="BH134" s="284">
        <f>IF(AC134&gt;0,Standing!$C$32*0.4,0)</f>
        <v>0</v>
      </c>
      <c r="BI134" s="280">
        <f>IF(AC134&gt;0,Standing!$C$26*0.75,0)</f>
        <v>0</v>
      </c>
      <c r="BJ134" s="281">
        <f>IF(AC134&gt;0,Standing!$C$26*0.65,0)</f>
        <v>0</v>
      </c>
      <c r="BK134" s="282">
        <f>IF(AC134&gt;0,Standing!$C$26*0.5,0)</f>
        <v>0</v>
      </c>
      <c r="BL134" s="283">
        <f>IF(AC134&gt;0,Standing!$C$32*0.66,0)</f>
        <v>0</v>
      </c>
      <c r="BM134" s="281">
        <f>IF(AC134&gt;0,Standing!$C$32*0.85,0)</f>
        <v>0</v>
      </c>
      <c r="BN134" s="284">
        <f t="shared" si="9"/>
        <v>0</v>
      </c>
      <c r="BO134" s="282">
        <f>IF(AC134&gt;0,Standing!$C$32*0.45,0)</f>
        <v>0</v>
      </c>
      <c r="BP134" s="280">
        <f>IF(AC134&gt;0,Standing!$C$32*0.45,0)</f>
        <v>0</v>
      </c>
      <c r="BQ134" s="281">
        <f>IF(AC134&gt;0,Standing!$C$32*0.66,0)</f>
        <v>0</v>
      </c>
      <c r="BR134" s="282">
        <f>IF(AC134&gt;0,Standing!$C$32*0.33,0)</f>
        <v>0</v>
      </c>
      <c r="BS134" s="283">
        <f>IF(AC134&gt;0,Standing!$C$32*0.375,0)</f>
        <v>0</v>
      </c>
      <c r="BT134" s="284">
        <f>IF(AC134&gt;0,Standing!$C$32*0.45,0)</f>
        <v>0</v>
      </c>
      <c r="BU134" s="280">
        <f>IF(AC134&gt;0,Standing!$C$36*0.9,0)</f>
        <v>0</v>
      </c>
      <c r="BV134" s="281">
        <f>IF(AC134&gt;0,Standing!$C$36*0.45,0)</f>
        <v>0</v>
      </c>
      <c r="BW134" s="282">
        <f>IF(AC134&gt;0,Standing!$C$126*0.66,0)</f>
        <v>0</v>
      </c>
      <c r="BX134" s="283">
        <f>IF(AC134&gt;0,Standing!$C$126*0.66,0)</f>
        <v>0</v>
      </c>
      <c r="BY134" s="284">
        <f>IF(AC134&gt;0,Standing!$C$126*0.4,0)</f>
        <v>0</v>
      </c>
      <c r="BZ134" s="280">
        <f>IF(AC134&gt;0,Standing!$C$126*0.33,0)</f>
        <v>0</v>
      </c>
      <c r="CA134" s="281">
        <f>IF(AC134&gt;0,Standing!$C$132,0)</f>
        <v>0</v>
      </c>
      <c r="CB134" s="282">
        <f>IF(AC134&gt;0,Standing!$C$132*0.66,0)</f>
        <v>0</v>
      </c>
      <c r="CC134" s="283">
        <f>IF(AC134&gt;0,Standing!$C$132*0.5,0)</f>
        <v>0</v>
      </c>
      <c r="CD134" s="284">
        <f>IF(AC134&gt;0,Standing!$C$132*0.5,0)</f>
        <v>0</v>
      </c>
      <c r="CE134" s="280">
        <f>IF(AC134&gt;0,Standing!$C$132*0.5,0)</f>
        <v>0</v>
      </c>
      <c r="CF134" s="281">
        <f>IF(AC134&gt;0,Standing!$C$132*0.66,0)</f>
        <v>0</v>
      </c>
      <c r="CG134" s="282">
        <f>IF(AC134&gt;0,Standing!$C$132*0.5,0)</f>
        <v>0</v>
      </c>
      <c r="CH134" s="283">
        <f>IF(AC134&gt;0,Standing!$C$132*0.5,0)</f>
        <v>0</v>
      </c>
      <c r="CI134" s="284">
        <f>IF(AC134&gt;0,Standing!$C$132*0.5,0)</f>
        <v>0</v>
      </c>
      <c r="CJ134" s="280">
        <f>IF(AC134&gt;0,Standing!$C$132*0.5,0)</f>
        <v>0</v>
      </c>
      <c r="CK134" s="281">
        <f>IF(AC134&gt;0,Standing!$C$126*0.55,0)</f>
        <v>0</v>
      </c>
      <c r="CL134" s="282">
        <f>IF(AC134&gt;0,Standing!$C$126*0.75,0)</f>
        <v>0</v>
      </c>
      <c r="CM134" s="283">
        <f>IF(AC134&gt;0,Standing!$C$126*0.7,0)</f>
        <v>0</v>
      </c>
      <c r="CN134" s="284">
        <f>IF(AC134&gt;0,Standing!$C$126*0.33,0)</f>
        <v>0</v>
      </c>
      <c r="CO134" s="280">
        <f>IF(AC134&gt;0,Standing!$C$126*0.4,0)</f>
        <v>0</v>
      </c>
      <c r="CP134" s="281">
        <f>IF(AC134&gt;0,Standing!$C$26*0.33,0)</f>
        <v>0</v>
      </c>
      <c r="CQ134" s="282">
        <f>IF(AC134&gt;0,Standing!$C$26*0.2,0)</f>
        <v>0</v>
      </c>
      <c r="CR134" s="283">
        <f>IF(AC134&gt;0,Standing!$C$26*0.25,0)</f>
        <v>0</v>
      </c>
      <c r="CS134" s="285">
        <f>IF(AC134&gt;0,Standing!$C$26*0.2,0)</f>
        <v>0</v>
      </c>
      <c r="CT134" s="286"/>
      <c r="CU134" s="286" t="s">
        <v>29</v>
      </c>
    </row>
    <row r="135" ht="15.75" customHeight="1">
      <c r="A135" s="51"/>
      <c r="B135" s="299" t="s">
        <v>590</v>
      </c>
      <c r="C135" s="119">
        <f>BS136</f>
        <v>0.9724281496</v>
      </c>
      <c r="D135" s="218">
        <f t="shared" si="3"/>
        <v>0.3095327698</v>
      </c>
      <c r="E135" s="190">
        <f t="shared" si="4"/>
        <v>24.699675</v>
      </c>
      <c r="F135" s="122">
        <f t="shared" si="5"/>
        <v>7.862132353</v>
      </c>
      <c r="G135" s="123">
        <f>C135/Introduction!$I$20</f>
        <v>0.01012945989</v>
      </c>
      <c r="H135" s="192">
        <f t="shared" si="6"/>
        <v>0.003224299685</v>
      </c>
      <c r="I135" s="124">
        <f>E135/Introduction!$I$20</f>
        <v>0.2572882812</v>
      </c>
      <c r="J135" s="125">
        <f t="shared" si="7"/>
        <v>0.08189721201</v>
      </c>
      <c r="K135" s="51"/>
      <c r="L135" s="51"/>
      <c r="M135" s="51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286"/>
      <c r="AB135" s="158" t="s">
        <v>51</v>
      </c>
      <c r="AC135" s="287">
        <f>IF('Ship Data Imperial'!E136&gt;0,'Ship Data Imperial'!E136,AD135)</f>
        <v>0</v>
      </c>
      <c r="AD135" s="287">
        <f>'Ship Data Metric'!E136*0.03280839895</f>
        <v>0</v>
      </c>
      <c r="AE135" s="284">
        <f>IF(AC135&gt;0,Standing!$C$75*0.65,0)</f>
        <v>0</v>
      </c>
      <c r="AF135" s="280">
        <f>IF(AC135&gt;0,Standing!$C$75*0.33,0)</f>
        <v>0</v>
      </c>
      <c r="AG135" s="281">
        <f>IF(AC135&gt;0,Standing!$C$75*0.2,0)</f>
        <v>0</v>
      </c>
      <c r="AH135" s="282">
        <f>IF(AC135&gt;0,Standing!$C$75*0.5,0)</f>
        <v>0</v>
      </c>
      <c r="AI135" s="283">
        <f>IF(AC135&gt;0,Standing!$C$75*0.2,0)</f>
        <v>0</v>
      </c>
      <c r="AJ135" s="284">
        <f>IF(AC135&gt;0,Standing!$C$75*0.25,0)</f>
        <v>0</v>
      </c>
      <c r="AK135" s="281">
        <f>IF(AC135&gt;0,Standing!$C$81*0.8,0)</f>
        <v>0</v>
      </c>
      <c r="AL135" s="282">
        <f t="shared" si="8"/>
        <v>0</v>
      </c>
      <c r="AM135" s="283">
        <f>IF(AC135&gt;0,Standing!$C$81*0.45,0)</f>
        <v>0</v>
      </c>
      <c r="AN135" s="284">
        <f>IF(AC135&gt;0,Standing!$C$81*0.55,0)</f>
        <v>0</v>
      </c>
      <c r="AO135" s="280">
        <f>IF(AC135&gt;0,Standing!$C$81*0.36,0)</f>
        <v>0</v>
      </c>
      <c r="AP135" s="281">
        <f>IF(AC135&gt;0,Standing!$C$81*0.9,0)</f>
        <v>0</v>
      </c>
      <c r="AQ135" s="282">
        <f>IF(AC135&gt;0,Standing!$C$85*0.9,0)</f>
        <v>0</v>
      </c>
      <c r="AR135" s="283">
        <f>IF(AC135&gt;0,Standing!$C$85*0.5,0)</f>
        <v>0</v>
      </c>
      <c r="AS135" s="284">
        <f>IF(AC135&gt;0,Standing!$C$85*0.55,0)</f>
        <v>0</v>
      </c>
      <c r="AT135" s="280">
        <f>IF(AC135&gt;0,Standing!$C$85*0.66,0)</f>
        <v>0</v>
      </c>
      <c r="AU135" s="281">
        <f>IF(AC135&gt;0,Standing!$C$75*0.25,0)</f>
        <v>0</v>
      </c>
      <c r="AV135" s="282">
        <f>IF(AC135&gt;0,Standing!$C$75*0.2,0)</f>
        <v>0</v>
      </c>
      <c r="AW135" s="283">
        <f>IF(AC135&gt;0,Standing!$C$26*0.33,0)</f>
        <v>0</v>
      </c>
      <c r="AX135" s="284">
        <f>IF(AC135&gt;0,Standing!$C$26*0.2,0)</f>
        <v>0</v>
      </c>
      <c r="AY135" s="280">
        <f>IF(AC135&gt;0,Standing!$C$26*0.25,0)</f>
        <v>0</v>
      </c>
      <c r="AZ135" s="281">
        <f>IF(AC135&gt;0,Standing!$C$26*0.33,0)</f>
        <v>0</v>
      </c>
      <c r="BA135" s="282">
        <f>IF(AC135&gt;0,Standing!$C$26*0.15,0)</f>
        <v>0</v>
      </c>
      <c r="BB135" s="283">
        <f>IF(AC135&gt;0,Standing!$C$26*0.125,0)</f>
        <v>0</v>
      </c>
      <c r="BC135" s="284">
        <f>IF(AC135&gt;0,Standing!$C$32*0.33,0)</f>
        <v>0</v>
      </c>
      <c r="BD135" s="280">
        <f>IF(AC135&gt;0,Standing!$C$32*0.5,0)</f>
        <v>0</v>
      </c>
      <c r="BE135" s="281">
        <f>IF(AC135&gt;0,Standing!$C$32*0.33,0)</f>
        <v>0</v>
      </c>
      <c r="BF135" s="282">
        <f>IF(AC135&gt;0,Standing!$C$32*0.33,0)</f>
        <v>0</v>
      </c>
      <c r="BG135" s="283">
        <f>IF(AC135&gt;0,Standing!$C$32*0.3,0)</f>
        <v>0</v>
      </c>
      <c r="BH135" s="284">
        <f>IF(AC135&gt;0,Standing!$C$32*0.4,0)</f>
        <v>0</v>
      </c>
      <c r="BI135" s="280">
        <f>IF(AC135&gt;0,Standing!$C$26*0.75,0)</f>
        <v>0</v>
      </c>
      <c r="BJ135" s="281">
        <f>IF(AC135&gt;0,Standing!$C$26*0.65,0)</f>
        <v>0</v>
      </c>
      <c r="BK135" s="282">
        <f>IF(AC135&gt;0,Standing!$C$26*0.5,0)</f>
        <v>0</v>
      </c>
      <c r="BL135" s="283">
        <f>IF(AC135&gt;0,Standing!$C$32*0.66,0)</f>
        <v>0</v>
      </c>
      <c r="BM135" s="281">
        <f>IF(AC135&gt;0,Standing!$C$32*0.85,0)</f>
        <v>0</v>
      </c>
      <c r="BN135" s="284">
        <f t="shared" si="9"/>
        <v>0</v>
      </c>
      <c r="BO135" s="282">
        <f>IF(AC135&gt;0,Standing!$C$32*0.45,0)</f>
        <v>0</v>
      </c>
      <c r="BP135" s="280">
        <f>IF(AC135&gt;0,Standing!$C$32*0.45,0)</f>
        <v>0</v>
      </c>
      <c r="BQ135" s="281">
        <f>IF(AC135&gt;0,Standing!$C$32*0.66,0)</f>
        <v>0</v>
      </c>
      <c r="BR135" s="282">
        <f>IF(AC135&gt;0,Standing!$C$32*0.33,0)</f>
        <v>0</v>
      </c>
      <c r="BS135" s="283">
        <f>IF(AC135&gt;0,Standing!$C$32*0.375,0)</f>
        <v>0</v>
      </c>
      <c r="BT135" s="284">
        <f>IF(AC135&gt;0,Standing!$C$32*0.45,0)</f>
        <v>0</v>
      </c>
      <c r="BU135" s="280">
        <f>IF(AC135&gt;0,Standing!$C$36*0.9,0)</f>
        <v>0</v>
      </c>
      <c r="BV135" s="281">
        <f>IF(AC135&gt;0,Standing!$C$36*0.45,0)</f>
        <v>0</v>
      </c>
      <c r="BW135" s="282">
        <f>IF(AC135&gt;0,Standing!$C$126*0.66,0)</f>
        <v>0</v>
      </c>
      <c r="BX135" s="283">
        <f>IF(AC135&gt;0,Standing!$C$126*0.66,0)</f>
        <v>0</v>
      </c>
      <c r="BY135" s="284">
        <f>IF(AC135&gt;0,Standing!$C$126*0.4,0)</f>
        <v>0</v>
      </c>
      <c r="BZ135" s="280">
        <f>IF(AC135&gt;0,Standing!$C$126*0.33,0)</f>
        <v>0</v>
      </c>
      <c r="CA135" s="281">
        <f>IF(AC135&gt;0,Standing!$C$132,0)</f>
        <v>0</v>
      </c>
      <c r="CB135" s="282">
        <f>IF(AC135&gt;0,Standing!$C$132*0.66,0)</f>
        <v>0</v>
      </c>
      <c r="CC135" s="283">
        <f>IF(AC135&gt;0,Standing!$C$132*0.5,0)</f>
        <v>0</v>
      </c>
      <c r="CD135" s="284">
        <f>IF(AC135&gt;0,Standing!$C$132*0.5,0)</f>
        <v>0</v>
      </c>
      <c r="CE135" s="280">
        <f>IF(AC135&gt;0,Standing!$C$132*0.5,0)</f>
        <v>0</v>
      </c>
      <c r="CF135" s="281">
        <f>IF(AC135&gt;0,Standing!$C$132*0.66,0)</f>
        <v>0</v>
      </c>
      <c r="CG135" s="282">
        <f>IF(AC135&gt;0,Standing!$C$132*0.5,0)</f>
        <v>0</v>
      </c>
      <c r="CH135" s="283">
        <f>IF(AC135&gt;0,Standing!$C$132*0.5,0)</f>
        <v>0</v>
      </c>
      <c r="CI135" s="284">
        <f>IF(AC135&gt;0,Standing!$C$132*0.5,0)</f>
        <v>0</v>
      </c>
      <c r="CJ135" s="280">
        <f>IF(AC135&gt;0,Standing!$C$132*0.5,0)</f>
        <v>0</v>
      </c>
      <c r="CK135" s="281">
        <f>IF(AC135&gt;0,Standing!$C$126*0.55,0)</f>
        <v>0</v>
      </c>
      <c r="CL135" s="282">
        <f>IF(AC135&gt;0,Standing!$C$126*0.75,0)</f>
        <v>0</v>
      </c>
      <c r="CM135" s="283">
        <f>IF(AC135&gt;0,Standing!$C$126*0.7,0)</f>
        <v>0</v>
      </c>
      <c r="CN135" s="284">
        <f>IF(AC135&gt;0,Standing!$C$126*0.33,0)</f>
        <v>0</v>
      </c>
      <c r="CO135" s="280">
        <f>IF(AC135&gt;0,Standing!$C$126*0.4,0)</f>
        <v>0</v>
      </c>
      <c r="CP135" s="281">
        <f>IF(AC135&gt;0,Standing!$C$26*0.33,0)</f>
        <v>0</v>
      </c>
      <c r="CQ135" s="282">
        <f>IF(AC135&gt;0,Standing!$C$26*0.2,0)</f>
        <v>0</v>
      </c>
      <c r="CR135" s="283">
        <f>IF(AC135&gt;0,Standing!$C$26*0.25,0)</f>
        <v>0</v>
      </c>
      <c r="CS135" s="285">
        <f>IF(AC135&gt;0,Standing!$C$26*0.2,0)</f>
        <v>0</v>
      </c>
      <c r="CT135" s="286"/>
      <c r="CU135" s="158" t="s">
        <v>51</v>
      </c>
    </row>
    <row r="136" ht="15.75" customHeight="1">
      <c r="A136" s="51"/>
      <c r="B136" s="302" t="s">
        <v>591</v>
      </c>
      <c r="C136" s="189">
        <f>Standing!$C$26*0.5</f>
        <v>2.946751968</v>
      </c>
      <c r="D136" s="218">
        <f t="shared" si="3"/>
        <v>0.9379780903</v>
      </c>
      <c r="E136" s="190">
        <f t="shared" si="4"/>
        <v>74.8475</v>
      </c>
      <c r="F136" s="122">
        <f t="shared" si="5"/>
        <v>23.82464349</v>
      </c>
      <c r="G136" s="123">
        <f>C136/Introduction!$I$20</f>
        <v>0.03069533301</v>
      </c>
      <c r="H136" s="192">
        <f t="shared" si="6"/>
        <v>0.009770605107</v>
      </c>
      <c r="I136" s="124">
        <f>E136/Introduction!$I$20</f>
        <v>0.7796614583</v>
      </c>
      <c r="J136" s="125">
        <f t="shared" si="7"/>
        <v>0.2481733697</v>
      </c>
      <c r="K136" s="51"/>
      <c r="L136" s="51"/>
      <c r="M136" s="51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284">
        <f t="shared" ref="AE136:CS136" si="10">SUM(AE2:AE135)</f>
        <v>4.25641951</v>
      </c>
      <c r="AF136" s="284">
        <f t="shared" si="10"/>
        <v>2.160951444</v>
      </c>
      <c r="AG136" s="284">
        <f t="shared" si="10"/>
        <v>1.309667542</v>
      </c>
      <c r="AH136" s="284">
        <f t="shared" si="10"/>
        <v>3.274168854</v>
      </c>
      <c r="AI136" s="284">
        <f t="shared" si="10"/>
        <v>1.309667542</v>
      </c>
      <c r="AJ136" s="284">
        <f t="shared" si="10"/>
        <v>1.637084427</v>
      </c>
      <c r="AK136" s="284">
        <f t="shared" si="10"/>
        <v>2.619335083</v>
      </c>
      <c r="AL136" s="284">
        <f t="shared" si="10"/>
        <v>1.728761155</v>
      </c>
      <c r="AM136" s="284">
        <f t="shared" si="10"/>
        <v>1.473375984</v>
      </c>
      <c r="AN136" s="284">
        <f t="shared" si="10"/>
        <v>1.80079287</v>
      </c>
      <c r="AO136" s="284">
        <f t="shared" si="10"/>
        <v>1.178700787</v>
      </c>
      <c r="AP136" s="284">
        <f t="shared" si="10"/>
        <v>2.946751968</v>
      </c>
      <c r="AQ136" s="284">
        <f t="shared" si="10"/>
        <v>1.8</v>
      </c>
      <c r="AR136" s="284">
        <f t="shared" si="10"/>
        <v>1</v>
      </c>
      <c r="AS136" s="284">
        <f t="shared" si="10"/>
        <v>1.1</v>
      </c>
      <c r="AT136" s="284">
        <f t="shared" si="10"/>
        <v>1.32</v>
      </c>
      <c r="AU136" s="284">
        <f t="shared" si="10"/>
        <v>1.637084427</v>
      </c>
      <c r="AV136" s="284">
        <f t="shared" si="10"/>
        <v>1.309667542</v>
      </c>
      <c r="AW136" s="284">
        <f t="shared" si="10"/>
        <v>1.944856299</v>
      </c>
      <c r="AX136" s="284">
        <f t="shared" si="10"/>
        <v>1.178700787</v>
      </c>
      <c r="AY136" s="284">
        <f t="shared" si="10"/>
        <v>1.473375984</v>
      </c>
      <c r="AZ136" s="284">
        <f t="shared" si="10"/>
        <v>1.944856299</v>
      </c>
      <c r="BA136" s="284">
        <f t="shared" si="10"/>
        <v>0.8840255905</v>
      </c>
      <c r="BB136" s="284">
        <f t="shared" si="10"/>
        <v>0.7366879921</v>
      </c>
      <c r="BC136" s="284">
        <f t="shared" si="10"/>
        <v>0.9724281496</v>
      </c>
      <c r="BD136" s="284">
        <f t="shared" si="10"/>
        <v>1.473375984</v>
      </c>
      <c r="BE136" s="284">
        <f t="shared" si="10"/>
        <v>0.9724281496</v>
      </c>
      <c r="BF136" s="284">
        <f t="shared" si="10"/>
        <v>0.9724281496</v>
      </c>
      <c r="BG136" s="284">
        <f t="shared" si="10"/>
        <v>0.8840255905</v>
      </c>
      <c r="BH136" s="284">
        <f t="shared" si="10"/>
        <v>1.178700787</v>
      </c>
      <c r="BI136" s="284">
        <f t="shared" si="10"/>
        <v>4.420127953</v>
      </c>
      <c r="BJ136" s="284">
        <f t="shared" si="10"/>
        <v>3.830777559</v>
      </c>
      <c r="BK136" s="284">
        <f t="shared" si="10"/>
        <v>2.946751968</v>
      </c>
      <c r="BL136" s="284">
        <f t="shared" si="10"/>
        <v>1.944856299</v>
      </c>
      <c r="BM136" s="284">
        <f t="shared" si="10"/>
        <v>2.504739173</v>
      </c>
      <c r="BN136" s="284">
        <f t="shared" si="10"/>
        <v>1.054544304</v>
      </c>
      <c r="BO136" s="284">
        <f t="shared" si="10"/>
        <v>1.326038386</v>
      </c>
      <c r="BP136" s="284">
        <f t="shared" si="10"/>
        <v>1.326038386</v>
      </c>
      <c r="BQ136" s="284">
        <f t="shared" si="10"/>
        <v>1.944856299</v>
      </c>
      <c r="BR136" s="284">
        <f t="shared" si="10"/>
        <v>0.9724281496</v>
      </c>
      <c r="BS136" s="284">
        <f t="shared" si="10"/>
        <v>0.9724281496</v>
      </c>
      <c r="BT136" s="284">
        <f t="shared" si="10"/>
        <v>1.326038386</v>
      </c>
      <c r="BU136" s="284">
        <f t="shared" si="10"/>
        <v>1.8</v>
      </c>
      <c r="BV136" s="284">
        <f t="shared" si="10"/>
        <v>0.9</v>
      </c>
      <c r="BW136" s="284">
        <f t="shared" si="10"/>
        <v>2.446629224</v>
      </c>
      <c r="BX136" s="284">
        <f t="shared" si="10"/>
        <v>2.446629224</v>
      </c>
      <c r="BY136" s="284">
        <f t="shared" si="10"/>
        <v>1.482805591</v>
      </c>
      <c r="BZ136" s="284">
        <f t="shared" si="10"/>
        <v>1.223314612</v>
      </c>
      <c r="CA136" s="284">
        <f t="shared" si="10"/>
        <v>1.853506988</v>
      </c>
      <c r="CB136" s="284">
        <f t="shared" si="10"/>
        <v>1.223314612</v>
      </c>
      <c r="CC136" s="284">
        <f t="shared" si="10"/>
        <v>0.9267534941</v>
      </c>
      <c r="CD136" s="284">
        <f t="shared" si="10"/>
        <v>0.9267534941</v>
      </c>
      <c r="CE136" s="284">
        <f t="shared" si="10"/>
        <v>0.9267534941</v>
      </c>
      <c r="CF136" s="284">
        <f t="shared" si="10"/>
        <v>1.223314612</v>
      </c>
      <c r="CG136" s="284">
        <f t="shared" si="10"/>
        <v>0.9267534941</v>
      </c>
      <c r="CH136" s="284">
        <f t="shared" si="10"/>
        <v>0.9267534941</v>
      </c>
      <c r="CI136" s="284">
        <f t="shared" si="10"/>
        <v>0.9267534941</v>
      </c>
      <c r="CJ136" s="284">
        <f t="shared" si="10"/>
        <v>0.9267534941</v>
      </c>
      <c r="CK136" s="284">
        <f t="shared" si="10"/>
        <v>2.038857687</v>
      </c>
      <c r="CL136" s="284">
        <f t="shared" si="10"/>
        <v>2.780260482</v>
      </c>
      <c r="CM136" s="284">
        <f t="shared" si="10"/>
        <v>2.594909783</v>
      </c>
      <c r="CN136" s="284">
        <f t="shared" si="10"/>
        <v>1.223314612</v>
      </c>
      <c r="CO136" s="284">
        <f t="shared" si="10"/>
        <v>1.482805591</v>
      </c>
      <c r="CP136" s="284">
        <f t="shared" si="10"/>
        <v>1.944856299</v>
      </c>
      <c r="CQ136" s="284">
        <f t="shared" si="10"/>
        <v>1.178700787</v>
      </c>
      <c r="CR136" s="284">
        <f t="shared" si="10"/>
        <v>1.473375984</v>
      </c>
      <c r="CS136" s="284">
        <f t="shared" si="10"/>
        <v>1.178700787</v>
      </c>
      <c r="CT136" s="54"/>
      <c r="CU136" s="54"/>
    </row>
    <row r="137" ht="15.75" customHeight="1">
      <c r="A137" s="51"/>
      <c r="B137" s="302" t="s">
        <v>592</v>
      </c>
      <c r="C137" s="119">
        <f>BT136</f>
        <v>1.326038386</v>
      </c>
      <c r="D137" s="218">
        <f t="shared" si="3"/>
        <v>0.4220901406</v>
      </c>
      <c r="E137" s="190">
        <f t="shared" si="4"/>
        <v>33.681375</v>
      </c>
      <c r="F137" s="122">
        <f t="shared" si="5"/>
        <v>10.72108957</v>
      </c>
      <c r="G137" s="123">
        <f>C137/Introduction!$I$20</f>
        <v>0.01381289985</v>
      </c>
      <c r="H137" s="192">
        <f t="shared" si="6"/>
        <v>0.004396772298</v>
      </c>
      <c r="I137" s="124">
        <f>E137/Introduction!$I$20</f>
        <v>0.3508476562</v>
      </c>
      <c r="J137" s="125">
        <f t="shared" si="7"/>
        <v>0.1116780164</v>
      </c>
      <c r="K137" s="51"/>
      <c r="L137" s="51"/>
      <c r="M137" s="51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  <c r="CO137" s="54"/>
      <c r="CP137" s="54"/>
      <c r="CQ137" s="54"/>
      <c r="CR137" s="54"/>
      <c r="CS137" s="54"/>
      <c r="CT137" s="54"/>
      <c r="CU137" s="54"/>
    </row>
    <row r="138" ht="15.75" customHeight="1">
      <c r="A138" s="51"/>
      <c r="B138" s="302" t="s">
        <v>593</v>
      </c>
      <c r="C138" s="189">
        <f>Standing!$C$26*0.45</f>
        <v>2.652076772</v>
      </c>
      <c r="D138" s="218">
        <f t="shared" si="3"/>
        <v>0.8441802813</v>
      </c>
      <c r="E138" s="190">
        <f t="shared" si="4"/>
        <v>67.36275</v>
      </c>
      <c r="F138" s="122">
        <f t="shared" si="5"/>
        <v>21.44217914</v>
      </c>
      <c r="G138" s="123">
        <f>C138/Introduction!$I$20</f>
        <v>0.0276257997</v>
      </c>
      <c r="H138" s="192">
        <f t="shared" si="6"/>
        <v>0.008793544597</v>
      </c>
      <c r="I138" s="124">
        <f>E138/Introduction!$I$20</f>
        <v>0.7016953125</v>
      </c>
      <c r="J138" s="125">
        <f t="shared" si="7"/>
        <v>0.2233560328</v>
      </c>
      <c r="K138" s="51"/>
      <c r="L138" s="51"/>
      <c r="M138" s="51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</row>
    <row r="139" ht="15.75" customHeight="1">
      <c r="A139" s="51"/>
      <c r="B139" s="302" t="s">
        <v>594</v>
      </c>
      <c r="C139" s="189">
        <f>Standing!$C$26*0.25</f>
        <v>1.473375984</v>
      </c>
      <c r="D139" s="218">
        <f t="shared" si="3"/>
        <v>0.4689890452</v>
      </c>
      <c r="E139" s="190">
        <f t="shared" si="4"/>
        <v>37.42375</v>
      </c>
      <c r="F139" s="122">
        <f t="shared" si="5"/>
        <v>11.91232175</v>
      </c>
      <c r="G139" s="123">
        <f>C139/Introduction!$I$20</f>
        <v>0.0153476665</v>
      </c>
      <c r="H139" s="192">
        <f t="shared" si="6"/>
        <v>0.004885302554</v>
      </c>
      <c r="I139" s="124">
        <f>E139/Introduction!$I$20</f>
        <v>0.3898307292</v>
      </c>
      <c r="J139" s="125">
        <f t="shared" si="7"/>
        <v>0.1240866849</v>
      </c>
      <c r="K139" s="51"/>
      <c r="L139" s="51"/>
      <c r="M139" s="51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  <c r="CO139" s="54"/>
      <c r="CP139" s="54"/>
      <c r="CQ139" s="54"/>
      <c r="CR139" s="54"/>
      <c r="CS139" s="54"/>
      <c r="CT139" s="54"/>
      <c r="CU139" s="54"/>
    </row>
    <row r="140" ht="15.75" customHeight="1">
      <c r="A140" s="51"/>
      <c r="B140" s="299" t="s">
        <v>595</v>
      </c>
      <c r="C140" s="189">
        <f>Standing!$C$26*0.33</f>
        <v>1.944856299</v>
      </c>
      <c r="D140" s="218">
        <f t="shared" si="3"/>
        <v>0.6190655396</v>
      </c>
      <c r="E140" s="190">
        <f t="shared" si="4"/>
        <v>49.39935</v>
      </c>
      <c r="F140" s="122">
        <f t="shared" si="5"/>
        <v>15.72426471</v>
      </c>
      <c r="G140" s="123">
        <f>C140/Introduction!$I$20</f>
        <v>0.02025891978</v>
      </c>
      <c r="H140" s="192">
        <f t="shared" si="6"/>
        <v>0.006448599371</v>
      </c>
      <c r="I140" s="124">
        <f>E140/Introduction!$I$20</f>
        <v>0.5145765625</v>
      </c>
      <c r="J140" s="125">
        <f t="shared" si="7"/>
        <v>0.163794424</v>
      </c>
      <c r="K140" s="51"/>
      <c r="L140" s="51"/>
      <c r="M140" s="51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  <c r="CO140" s="54"/>
      <c r="CP140" s="54"/>
      <c r="CQ140" s="54"/>
      <c r="CR140" s="54"/>
      <c r="CS140" s="54"/>
      <c r="CT140" s="54"/>
      <c r="CU140" s="54"/>
    </row>
    <row r="141" ht="15.75" customHeight="1">
      <c r="A141" s="51"/>
      <c r="B141" s="299" t="s">
        <v>596</v>
      </c>
      <c r="C141" s="189">
        <f>Standing!$C$26*0.165</f>
        <v>0.9724281496</v>
      </c>
      <c r="D141" s="218">
        <f t="shared" si="3"/>
        <v>0.3095327698</v>
      </c>
      <c r="E141" s="190">
        <f t="shared" si="4"/>
        <v>24.699675</v>
      </c>
      <c r="F141" s="122">
        <f t="shared" si="5"/>
        <v>7.862132353</v>
      </c>
      <c r="G141" s="123">
        <f>C141/Introduction!$I$20</f>
        <v>0.01012945989</v>
      </c>
      <c r="H141" s="192">
        <f t="shared" si="6"/>
        <v>0.003224299685</v>
      </c>
      <c r="I141" s="124">
        <f>E141/Introduction!$I$20</f>
        <v>0.2572882812</v>
      </c>
      <c r="J141" s="125">
        <f t="shared" si="7"/>
        <v>0.08189721201</v>
      </c>
      <c r="K141" s="51"/>
      <c r="L141" s="51"/>
      <c r="M141" s="51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</row>
    <row r="142" ht="15.75" customHeight="1">
      <c r="A142" s="51"/>
      <c r="B142" s="298" t="s">
        <v>597</v>
      </c>
      <c r="C142" s="189">
        <f>Standing!$C$26*0.5</f>
        <v>2.946751968</v>
      </c>
      <c r="D142" s="218">
        <f t="shared" si="3"/>
        <v>0.9379780903</v>
      </c>
      <c r="E142" s="190">
        <f t="shared" si="4"/>
        <v>74.8475</v>
      </c>
      <c r="F142" s="122">
        <f t="shared" si="5"/>
        <v>23.82464349</v>
      </c>
      <c r="G142" s="123">
        <f>C142/Introduction!$I$20</f>
        <v>0.03069533301</v>
      </c>
      <c r="H142" s="192">
        <f t="shared" si="6"/>
        <v>0.009770605107</v>
      </c>
      <c r="I142" s="124">
        <f>E142/Introduction!$I$20</f>
        <v>0.7796614583</v>
      </c>
      <c r="J142" s="125">
        <f t="shared" si="7"/>
        <v>0.2481733697</v>
      </c>
      <c r="K142" s="51"/>
      <c r="L142" s="51"/>
      <c r="M142" s="51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</row>
    <row r="143" ht="15.75" customHeight="1">
      <c r="A143" s="51"/>
      <c r="B143" s="299" t="s">
        <v>598</v>
      </c>
      <c r="C143" s="189">
        <f>Standing!$C$26*0.33</f>
        <v>1.944856299</v>
      </c>
      <c r="D143" s="218">
        <f t="shared" si="3"/>
        <v>0.6190655396</v>
      </c>
      <c r="E143" s="190">
        <f t="shared" si="4"/>
        <v>49.39935</v>
      </c>
      <c r="F143" s="122">
        <f t="shared" si="5"/>
        <v>15.72426471</v>
      </c>
      <c r="G143" s="123">
        <f>C143/Introduction!$I$20</f>
        <v>0.02025891978</v>
      </c>
      <c r="H143" s="192">
        <f t="shared" si="6"/>
        <v>0.006448599371</v>
      </c>
      <c r="I143" s="124">
        <f>E143/Introduction!$I$20</f>
        <v>0.5145765625</v>
      </c>
      <c r="J143" s="125">
        <f t="shared" si="7"/>
        <v>0.163794424</v>
      </c>
      <c r="K143" s="51"/>
      <c r="L143" s="51"/>
      <c r="M143" s="51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  <c r="BV143" s="54"/>
      <c r="BW143" s="54"/>
      <c r="BX143" s="54"/>
      <c r="BY143" s="54"/>
      <c r="BZ143" s="54"/>
      <c r="CA143" s="54"/>
      <c r="CB143" s="54"/>
      <c r="CC143" s="54"/>
      <c r="CD143" s="54"/>
      <c r="CE143" s="54"/>
      <c r="CF143" s="54"/>
      <c r="CG143" s="54"/>
      <c r="CH143" s="54"/>
      <c r="CI143" s="54"/>
      <c r="CJ143" s="54"/>
      <c r="CK143" s="54"/>
      <c r="CL143" s="54"/>
      <c r="CM143" s="54"/>
      <c r="CN143" s="54"/>
      <c r="CO143" s="54"/>
      <c r="CP143" s="54"/>
      <c r="CQ143" s="54"/>
      <c r="CR143" s="54"/>
      <c r="CS143" s="54"/>
      <c r="CT143" s="54"/>
      <c r="CU143" s="54"/>
    </row>
    <row r="144" ht="15.75" customHeight="1">
      <c r="A144" s="51"/>
      <c r="B144" s="299" t="s">
        <v>599</v>
      </c>
      <c r="C144" s="189">
        <f>Standing!$C$26*0.3</f>
        <v>1.768051181</v>
      </c>
      <c r="D144" s="218">
        <f t="shared" si="3"/>
        <v>0.5627868542</v>
      </c>
      <c r="E144" s="190">
        <f t="shared" si="4"/>
        <v>44.9085</v>
      </c>
      <c r="F144" s="122">
        <f t="shared" si="5"/>
        <v>14.2947861</v>
      </c>
      <c r="G144" s="123">
        <f>C144/Introduction!$I$20</f>
        <v>0.0184171998</v>
      </c>
      <c r="H144" s="192">
        <f t="shared" si="6"/>
        <v>0.005862363064</v>
      </c>
      <c r="I144" s="124">
        <f>E144/Introduction!$I$20</f>
        <v>0.467796875</v>
      </c>
      <c r="J144" s="125">
        <f t="shared" si="7"/>
        <v>0.1489040218</v>
      </c>
      <c r="K144" s="51"/>
      <c r="L144" s="51"/>
      <c r="M144" s="51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  <c r="CO144" s="54"/>
      <c r="CP144" s="54"/>
      <c r="CQ144" s="54"/>
      <c r="CR144" s="54"/>
      <c r="CS144" s="54"/>
      <c r="CT144" s="54"/>
      <c r="CU144" s="54"/>
    </row>
    <row r="145" ht="15.75" customHeight="1">
      <c r="A145" s="51"/>
      <c r="B145" s="299" t="s">
        <v>600</v>
      </c>
      <c r="C145" s="189">
        <f>Standing!$C$26*0.5</f>
        <v>2.946751968</v>
      </c>
      <c r="D145" s="218">
        <f t="shared" si="3"/>
        <v>0.9379780903</v>
      </c>
      <c r="E145" s="190">
        <f t="shared" si="4"/>
        <v>74.8475</v>
      </c>
      <c r="F145" s="122">
        <f t="shared" si="5"/>
        <v>23.82464349</v>
      </c>
      <c r="G145" s="123">
        <f>C145/Introduction!$I$20</f>
        <v>0.03069533301</v>
      </c>
      <c r="H145" s="192">
        <f t="shared" si="6"/>
        <v>0.009770605107</v>
      </c>
      <c r="I145" s="124">
        <f>E145/Introduction!$I$20</f>
        <v>0.7796614583</v>
      </c>
      <c r="J145" s="125">
        <f t="shared" si="7"/>
        <v>0.2481733697</v>
      </c>
      <c r="K145" s="51"/>
      <c r="L145" s="51"/>
      <c r="M145" s="51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  <c r="CO145" s="54"/>
      <c r="CP145" s="54"/>
      <c r="CQ145" s="54"/>
      <c r="CR145" s="54"/>
      <c r="CS145" s="54"/>
      <c r="CT145" s="54"/>
      <c r="CU145" s="54"/>
    </row>
    <row r="146" ht="15.75" customHeight="1">
      <c r="A146" s="51"/>
      <c r="B146" s="299" t="s">
        <v>601</v>
      </c>
      <c r="C146" s="189">
        <f>Standing!$C$26*0.33</f>
        <v>1.944856299</v>
      </c>
      <c r="D146" s="218">
        <f t="shared" si="3"/>
        <v>0.6190655396</v>
      </c>
      <c r="E146" s="190">
        <f t="shared" si="4"/>
        <v>49.39935</v>
      </c>
      <c r="F146" s="122">
        <f t="shared" si="5"/>
        <v>15.72426471</v>
      </c>
      <c r="G146" s="123">
        <f>C146/Introduction!$I$20</f>
        <v>0.02025891978</v>
      </c>
      <c r="H146" s="192">
        <f t="shared" si="6"/>
        <v>0.006448599371</v>
      </c>
      <c r="I146" s="124">
        <f>E146/Introduction!$I$20</f>
        <v>0.5145765625</v>
      </c>
      <c r="J146" s="125">
        <f t="shared" si="7"/>
        <v>0.163794424</v>
      </c>
      <c r="K146" s="51"/>
      <c r="L146" s="51"/>
      <c r="M146" s="51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</row>
    <row r="147" ht="15.75" customHeight="1">
      <c r="A147" s="51"/>
      <c r="B147" s="299" t="s">
        <v>602</v>
      </c>
      <c r="C147" s="189">
        <f>Standing!$C$26*0.5</f>
        <v>2.946751968</v>
      </c>
      <c r="D147" s="218">
        <f t="shared" si="3"/>
        <v>0.9379780903</v>
      </c>
      <c r="E147" s="190">
        <f t="shared" si="4"/>
        <v>74.8475</v>
      </c>
      <c r="F147" s="122">
        <f t="shared" si="5"/>
        <v>23.82464349</v>
      </c>
      <c r="G147" s="123">
        <f>C147/Introduction!$I$20</f>
        <v>0.03069533301</v>
      </c>
      <c r="H147" s="192">
        <f t="shared" si="6"/>
        <v>0.009770605107</v>
      </c>
      <c r="I147" s="124">
        <f>E147/Introduction!$I$20</f>
        <v>0.7796614583</v>
      </c>
      <c r="J147" s="125">
        <f t="shared" si="7"/>
        <v>0.2481733697</v>
      </c>
      <c r="K147" s="51"/>
      <c r="L147" s="51"/>
      <c r="M147" s="51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</row>
    <row r="148" ht="15.75" customHeight="1">
      <c r="A148" s="51"/>
      <c r="B148" s="299" t="s">
        <v>603</v>
      </c>
      <c r="C148" s="189">
        <f>Standing!$C$26*0.33</f>
        <v>1.944856299</v>
      </c>
      <c r="D148" s="218">
        <f t="shared" si="3"/>
        <v>0.6190655396</v>
      </c>
      <c r="E148" s="190">
        <f t="shared" si="4"/>
        <v>49.39935</v>
      </c>
      <c r="F148" s="122">
        <f t="shared" si="5"/>
        <v>15.72426471</v>
      </c>
      <c r="G148" s="123">
        <f>C148/Introduction!$I$20</f>
        <v>0.02025891978</v>
      </c>
      <c r="H148" s="192">
        <f t="shared" si="6"/>
        <v>0.006448599371</v>
      </c>
      <c r="I148" s="124">
        <f>E148/Introduction!$I$20</f>
        <v>0.5145765625</v>
      </c>
      <c r="J148" s="125">
        <f t="shared" si="7"/>
        <v>0.163794424</v>
      </c>
      <c r="K148" s="51"/>
      <c r="L148" s="51"/>
      <c r="M148" s="51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</row>
    <row r="149" ht="15.75" customHeight="1">
      <c r="A149" s="51"/>
      <c r="B149" s="298" t="s">
        <v>604</v>
      </c>
      <c r="C149" s="189">
        <f>Standing!$C$36*0.66</f>
        <v>1.32</v>
      </c>
      <c r="D149" s="218">
        <f t="shared" si="3"/>
        <v>0.4201680672</v>
      </c>
      <c r="E149" s="190">
        <f t="shared" si="4"/>
        <v>33.528</v>
      </c>
      <c r="F149" s="122">
        <f t="shared" si="5"/>
        <v>10.67226891</v>
      </c>
      <c r="G149" s="123">
        <f>C149/Introduction!$I$20</f>
        <v>0.01375</v>
      </c>
      <c r="H149" s="192">
        <f t="shared" si="6"/>
        <v>0.0043767507</v>
      </c>
      <c r="I149" s="124">
        <f>E149/Introduction!$I$20</f>
        <v>0.34925</v>
      </c>
      <c r="J149" s="125">
        <f t="shared" si="7"/>
        <v>0.1111694678</v>
      </c>
      <c r="K149" s="51"/>
      <c r="L149" s="51"/>
      <c r="M149" s="51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</row>
    <row r="150" ht="15.75" customHeight="1">
      <c r="A150" s="51"/>
      <c r="B150" s="299" t="s">
        <v>522</v>
      </c>
      <c r="C150" s="189">
        <f>Standing!$C$36*0.55</f>
        <v>1.1</v>
      </c>
      <c r="D150" s="218">
        <f t="shared" si="3"/>
        <v>0.350140056</v>
      </c>
      <c r="E150" s="190">
        <f t="shared" si="4"/>
        <v>27.94</v>
      </c>
      <c r="F150" s="122">
        <f t="shared" si="5"/>
        <v>8.893557423</v>
      </c>
      <c r="G150" s="123">
        <f>C150/Introduction!$I$20</f>
        <v>0.01145833333</v>
      </c>
      <c r="H150" s="192">
        <f t="shared" si="6"/>
        <v>0.00364729225</v>
      </c>
      <c r="I150" s="124">
        <f>E150/Introduction!$I$20</f>
        <v>0.2910416667</v>
      </c>
      <c r="J150" s="125">
        <f t="shared" si="7"/>
        <v>0.09264122316</v>
      </c>
      <c r="K150" s="51"/>
      <c r="L150" s="51"/>
      <c r="M150" s="51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</row>
    <row r="151" ht="15.75" customHeight="1">
      <c r="A151" s="51"/>
      <c r="B151" s="299" t="s">
        <v>605</v>
      </c>
      <c r="C151" s="189">
        <f>IF(Standing!$C$36*0.33&gt;1,Standing!$C$36*0.33,1)</f>
        <v>1</v>
      </c>
      <c r="D151" s="218">
        <f t="shared" si="3"/>
        <v>0.3183091418</v>
      </c>
      <c r="E151" s="190">
        <f t="shared" si="4"/>
        <v>25.4</v>
      </c>
      <c r="F151" s="122">
        <f t="shared" si="5"/>
        <v>8.085052203</v>
      </c>
      <c r="G151" s="123">
        <f>C151/Introduction!$I$20</f>
        <v>0.01041666667</v>
      </c>
      <c r="H151" s="192">
        <f t="shared" si="6"/>
        <v>0.003315720227</v>
      </c>
      <c r="I151" s="124">
        <f>E151/Introduction!$I$20</f>
        <v>0.2645833333</v>
      </c>
      <c r="J151" s="125">
        <f t="shared" si="7"/>
        <v>0.08421929378</v>
      </c>
      <c r="K151" s="51"/>
      <c r="L151" s="51"/>
      <c r="M151" s="51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</row>
    <row r="152" ht="15.75" customHeight="1">
      <c r="A152" s="51"/>
      <c r="B152" s="298" t="s">
        <v>606</v>
      </c>
      <c r="C152" s="119">
        <f>Standing!$C$126*0.66</f>
        <v>2.446629224</v>
      </c>
      <c r="D152" s="218">
        <f t="shared" si="3"/>
        <v>0.7787844488</v>
      </c>
      <c r="E152" s="190">
        <f t="shared" si="4"/>
        <v>62.1443823</v>
      </c>
      <c r="F152" s="122">
        <f t="shared" si="5"/>
        <v>19.781125</v>
      </c>
      <c r="G152" s="123">
        <f>C152/Introduction!$I$20</f>
        <v>0.02548572109</v>
      </c>
      <c r="H152" s="192">
        <f t="shared" si="6"/>
        <v>0.008112338008</v>
      </c>
      <c r="I152" s="124">
        <f>E152/Introduction!$I$20</f>
        <v>0.6473373156</v>
      </c>
      <c r="J152" s="125">
        <f t="shared" si="7"/>
        <v>0.2060533854</v>
      </c>
      <c r="K152" s="51"/>
      <c r="L152" s="51"/>
      <c r="M152" s="51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</row>
    <row r="153" ht="15.75" customHeight="1">
      <c r="A153" s="51"/>
      <c r="B153" s="299" t="s">
        <v>607</v>
      </c>
      <c r="C153" s="119">
        <f>Standing!$C$126*0.5</f>
        <v>1.853506988</v>
      </c>
      <c r="D153" s="218">
        <f t="shared" si="3"/>
        <v>0.5899882188</v>
      </c>
      <c r="E153" s="190">
        <f t="shared" si="4"/>
        <v>47.0790775</v>
      </c>
      <c r="F153" s="122">
        <f t="shared" si="5"/>
        <v>14.98570076</v>
      </c>
      <c r="G153" s="123">
        <f>C153/Introduction!$I$20</f>
        <v>0.01930736446</v>
      </c>
      <c r="H153" s="192">
        <f t="shared" si="6"/>
        <v>0.006145710612</v>
      </c>
      <c r="I153" s="124">
        <f>E153/Introduction!$I$20</f>
        <v>0.4904070573</v>
      </c>
      <c r="J153" s="125">
        <f t="shared" si="7"/>
        <v>0.1561010496</v>
      </c>
      <c r="K153" s="51"/>
      <c r="L153" s="51"/>
      <c r="M153" s="51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</row>
    <row r="154" ht="15.75" customHeight="1">
      <c r="A154" s="51"/>
      <c r="B154" s="299" t="s">
        <v>608</v>
      </c>
      <c r="C154" s="119">
        <f>Standing!$C$26*0.25</f>
        <v>1.473375984</v>
      </c>
      <c r="D154" s="218">
        <f t="shared" si="3"/>
        <v>0.4689890452</v>
      </c>
      <c r="E154" s="190">
        <f t="shared" si="4"/>
        <v>37.42375</v>
      </c>
      <c r="F154" s="122">
        <f t="shared" si="5"/>
        <v>11.91232175</v>
      </c>
      <c r="G154" s="123">
        <f>C154/Introduction!$I$20</f>
        <v>0.0153476665</v>
      </c>
      <c r="H154" s="192">
        <f t="shared" si="6"/>
        <v>0.004885302554</v>
      </c>
      <c r="I154" s="124">
        <f>E154/Introduction!$I$20</f>
        <v>0.3898307292</v>
      </c>
      <c r="J154" s="125">
        <f t="shared" si="7"/>
        <v>0.1240866849</v>
      </c>
      <c r="K154" s="51"/>
      <c r="L154" s="51"/>
      <c r="M154" s="51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</row>
    <row r="155" ht="15.75" customHeight="1">
      <c r="A155" s="51"/>
      <c r="B155" s="299" t="s">
        <v>609</v>
      </c>
      <c r="C155" s="119">
        <f>Standing!$C$26*0.25</f>
        <v>1.473375984</v>
      </c>
      <c r="D155" s="218">
        <f t="shared" si="3"/>
        <v>0.4689890452</v>
      </c>
      <c r="E155" s="190">
        <f t="shared" si="4"/>
        <v>37.42375</v>
      </c>
      <c r="F155" s="122">
        <f t="shared" si="5"/>
        <v>11.91232175</v>
      </c>
      <c r="G155" s="123">
        <f>C155/Introduction!$I$20</f>
        <v>0.0153476665</v>
      </c>
      <c r="H155" s="192">
        <f t="shared" si="6"/>
        <v>0.004885302554</v>
      </c>
      <c r="I155" s="124">
        <f>E155/Introduction!$I$20</f>
        <v>0.3898307292</v>
      </c>
      <c r="J155" s="125">
        <f t="shared" si="7"/>
        <v>0.1240866849</v>
      </c>
      <c r="K155" s="51"/>
      <c r="L155" s="51"/>
      <c r="M155" s="51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</row>
    <row r="156" ht="15.75" customHeight="1">
      <c r="A156" s="51"/>
      <c r="B156" s="299" t="s">
        <v>610</v>
      </c>
      <c r="C156" s="119">
        <f>Standing!$C$26*0.2</f>
        <v>1.178700787</v>
      </c>
      <c r="D156" s="218">
        <f t="shared" si="3"/>
        <v>0.3751912361</v>
      </c>
      <c r="E156" s="190">
        <f t="shared" si="4"/>
        <v>29.939</v>
      </c>
      <c r="F156" s="122">
        <f t="shared" si="5"/>
        <v>9.529857397</v>
      </c>
      <c r="G156" s="123">
        <f>C156/Introduction!$I$20</f>
        <v>0.0122781332</v>
      </c>
      <c r="H156" s="192">
        <f t="shared" si="6"/>
        <v>0.003908242043</v>
      </c>
      <c r="I156" s="124">
        <f>E156/Introduction!$I$20</f>
        <v>0.3118645833</v>
      </c>
      <c r="J156" s="125">
        <f t="shared" si="7"/>
        <v>0.09926934789</v>
      </c>
      <c r="K156" s="51"/>
      <c r="L156" s="51"/>
      <c r="M156" s="51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</row>
    <row r="157" ht="15.75" customHeight="1">
      <c r="A157" s="51"/>
      <c r="B157" s="299" t="s">
        <v>611</v>
      </c>
      <c r="C157" s="119">
        <f>Standing!$C$126*0.3</f>
        <v>1.112104193</v>
      </c>
      <c r="D157" s="218">
        <f t="shared" si="3"/>
        <v>0.3539929313</v>
      </c>
      <c r="E157" s="190">
        <f t="shared" si="4"/>
        <v>28.2474465</v>
      </c>
      <c r="F157" s="122">
        <f t="shared" si="5"/>
        <v>8.991420455</v>
      </c>
      <c r="G157" s="123">
        <f>C157/Introduction!$I$20</f>
        <v>0.01158441868</v>
      </c>
      <c r="H157" s="192">
        <f t="shared" si="6"/>
        <v>0.003687426367</v>
      </c>
      <c r="I157" s="124">
        <f>E157/Introduction!$I$20</f>
        <v>0.2942442344</v>
      </c>
      <c r="J157" s="125">
        <f t="shared" si="7"/>
        <v>0.09366062973</v>
      </c>
      <c r="K157" s="51"/>
      <c r="L157" s="51"/>
      <c r="M157" s="51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</row>
    <row r="158" ht="15.75" customHeight="1">
      <c r="A158" s="51"/>
      <c r="B158" s="299" t="s">
        <v>612</v>
      </c>
      <c r="C158" s="119">
        <f>Standing!$C$126*0.33</f>
        <v>1.223314612</v>
      </c>
      <c r="D158" s="218">
        <f t="shared" si="3"/>
        <v>0.3893922244</v>
      </c>
      <c r="E158" s="190">
        <f t="shared" si="4"/>
        <v>31.07219115</v>
      </c>
      <c r="F158" s="122">
        <f t="shared" si="5"/>
        <v>9.8905625</v>
      </c>
      <c r="G158" s="123">
        <f>C158/Introduction!$I$20</f>
        <v>0.01274286054</v>
      </c>
      <c r="H158" s="192">
        <f t="shared" si="6"/>
        <v>0.004056169004</v>
      </c>
      <c r="I158" s="124">
        <f>E158/Introduction!$I$20</f>
        <v>0.3236686578</v>
      </c>
      <c r="J158" s="125">
        <f t="shared" si="7"/>
        <v>0.1030266927</v>
      </c>
      <c r="K158" s="51"/>
      <c r="L158" s="51"/>
      <c r="M158" s="51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  <c r="CO158" s="54"/>
      <c r="CP158" s="54"/>
      <c r="CQ158" s="54"/>
      <c r="CR158" s="54"/>
      <c r="CS158" s="54"/>
      <c r="CT158" s="54"/>
      <c r="CU158" s="54"/>
    </row>
    <row r="159" ht="15.75" customHeight="1">
      <c r="A159" s="51"/>
      <c r="B159" s="299" t="s">
        <v>613</v>
      </c>
      <c r="C159" s="119">
        <f>Standing!$C$126*0.33</f>
        <v>1.223314612</v>
      </c>
      <c r="D159" s="218">
        <f t="shared" si="3"/>
        <v>0.3893922244</v>
      </c>
      <c r="E159" s="190">
        <f t="shared" si="4"/>
        <v>31.07219115</v>
      </c>
      <c r="F159" s="122">
        <f t="shared" si="5"/>
        <v>9.8905625</v>
      </c>
      <c r="G159" s="123">
        <f>C159/Introduction!$I$20</f>
        <v>0.01274286054</v>
      </c>
      <c r="H159" s="192">
        <f t="shared" si="6"/>
        <v>0.004056169004</v>
      </c>
      <c r="I159" s="124">
        <f>E159/Introduction!$I$20</f>
        <v>0.3236686578</v>
      </c>
      <c r="J159" s="125">
        <f t="shared" si="7"/>
        <v>0.1030266927</v>
      </c>
      <c r="K159" s="51"/>
      <c r="L159" s="51"/>
      <c r="M159" s="51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  <c r="BV159" s="54"/>
      <c r="BW159" s="54"/>
      <c r="BX159" s="54"/>
      <c r="BY159" s="54"/>
      <c r="BZ159" s="54"/>
      <c r="CA159" s="54"/>
      <c r="CB159" s="54"/>
      <c r="CC159" s="54"/>
      <c r="CD159" s="54"/>
      <c r="CE159" s="54"/>
      <c r="CF159" s="54"/>
      <c r="CG159" s="54"/>
      <c r="CH159" s="54"/>
      <c r="CI159" s="54"/>
      <c r="CJ159" s="54"/>
      <c r="CK159" s="54"/>
      <c r="CL159" s="54"/>
      <c r="CM159" s="54"/>
      <c r="CN159" s="54"/>
      <c r="CO159" s="54"/>
      <c r="CP159" s="54"/>
      <c r="CQ159" s="54"/>
      <c r="CR159" s="54"/>
      <c r="CS159" s="54"/>
      <c r="CT159" s="54"/>
      <c r="CU159" s="54"/>
    </row>
    <row r="160" ht="15.75" customHeight="1">
      <c r="A160" s="51"/>
      <c r="B160" s="299" t="s">
        <v>614</v>
      </c>
      <c r="C160" s="119">
        <f>Standing!$C$126*0.5</f>
        <v>1.853506988</v>
      </c>
      <c r="D160" s="218">
        <f t="shared" si="3"/>
        <v>0.5899882188</v>
      </c>
      <c r="E160" s="190">
        <f t="shared" si="4"/>
        <v>47.0790775</v>
      </c>
      <c r="F160" s="122">
        <f t="shared" si="5"/>
        <v>14.98570076</v>
      </c>
      <c r="G160" s="123">
        <f>C160/Introduction!$I$20</f>
        <v>0.01930736446</v>
      </c>
      <c r="H160" s="192">
        <f t="shared" si="6"/>
        <v>0.006145710612</v>
      </c>
      <c r="I160" s="124">
        <f>E160/Introduction!$I$20</f>
        <v>0.4904070573</v>
      </c>
      <c r="J160" s="125">
        <f t="shared" si="7"/>
        <v>0.1561010496</v>
      </c>
      <c r="K160" s="51"/>
      <c r="L160" s="51"/>
      <c r="M160" s="51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  <c r="CN160" s="54"/>
      <c r="CO160" s="54"/>
      <c r="CP160" s="54"/>
      <c r="CQ160" s="54"/>
      <c r="CR160" s="54"/>
      <c r="CS160" s="54"/>
      <c r="CT160" s="54"/>
      <c r="CU160" s="54"/>
    </row>
    <row r="161" ht="15.75" customHeight="1">
      <c r="A161" s="51"/>
      <c r="B161" s="299" t="s">
        <v>615</v>
      </c>
      <c r="C161" s="119">
        <f>Standing!$C$126*0.3</f>
        <v>1.112104193</v>
      </c>
      <c r="D161" s="218">
        <f t="shared" si="3"/>
        <v>0.3539929313</v>
      </c>
      <c r="E161" s="190">
        <f t="shared" si="4"/>
        <v>28.2474465</v>
      </c>
      <c r="F161" s="122">
        <f t="shared" si="5"/>
        <v>8.991420455</v>
      </c>
      <c r="G161" s="123">
        <f>C161/Introduction!$I$20</f>
        <v>0.01158441868</v>
      </c>
      <c r="H161" s="192">
        <f t="shared" si="6"/>
        <v>0.003687426367</v>
      </c>
      <c r="I161" s="124">
        <f>E161/Introduction!$I$20</f>
        <v>0.2942442344</v>
      </c>
      <c r="J161" s="125">
        <f t="shared" si="7"/>
        <v>0.09366062973</v>
      </c>
      <c r="K161" s="51"/>
      <c r="L161" s="51"/>
      <c r="M161" s="51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4"/>
      <c r="CN161" s="54"/>
      <c r="CO161" s="54"/>
      <c r="CP161" s="54"/>
      <c r="CQ161" s="54"/>
      <c r="CR161" s="54"/>
      <c r="CS161" s="54"/>
      <c r="CT161" s="54"/>
      <c r="CU161" s="54"/>
    </row>
    <row r="162" ht="15.75" customHeight="1">
      <c r="A162" s="51"/>
      <c r="B162" s="303" t="s">
        <v>616</v>
      </c>
      <c r="C162" s="185">
        <f>Standing!$C$126*0.3</f>
        <v>1.112104193</v>
      </c>
      <c r="D162" s="128">
        <f t="shared" si="3"/>
        <v>0.3539929313</v>
      </c>
      <c r="E162" s="248">
        <f t="shared" si="4"/>
        <v>28.2474465</v>
      </c>
      <c r="F162" s="130">
        <f t="shared" si="5"/>
        <v>8.991420455</v>
      </c>
      <c r="G162" s="131">
        <f>C162/Introduction!$I$20</f>
        <v>0.01158441868</v>
      </c>
      <c r="H162" s="187">
        <f t="shared" si="6"/>
        <v>0.003687426367</v>
      </c>
      <c r="I162" s="133">
        <f>E162/Introduction!$I$20</f>
        <v>0.2942442344</v>
      </c>
      <c r="J162" s="135">
        <f t="shared" si="7"/>
        <v>0.09366062973</v>
      </c>
      <c r="K162" s="51"/>
      <c r="L162" s="51"/>
      <c r="M162" s="51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  <c r="CO162" s="54"/>
      <c r="CP162" s="54"/>
      <c r="CQ162" s="54"/>
      <c r="CR162" s="54"/>
      <c r="CS162" s="54"/>
      <c r="CT162" s="54"/>
      <c r="CU162" s="54"/>
    </row>
    <row r="163" ht="15.75" customHeight="1">
      <c r="A163" s="51"/>
      <c r="B163" s="304" t="s">
        <v>617</v>
      </c>
      <c r="C163" s="119">
        <f>Standing!C75*0.225</f>
        <v>1.473375984</v>
      </c>
      <c r="D163" s="110">
        <f t="shared" si="3"/>
        <v>0.4689890452</v>
      </c>
      <c r="E163" s="111">
        <f t="shared" ref="E163:F163" si="11">D163/3.1416</f>
        <v>0.1492835005</v>
      </c>
      <c r="F163" s="305">
        <f t="shared" si="11"/>
        <v>0.04751830293</v>
      </c>
      <c r="G163" s="113">
        <f>C163/Introduction!$I$20</f>
        <v>0.0153476665</v>
      </c>
      <c r="H163" s="137">
        <f t="shared" si="6"/>
        <v>0.004885302554</v>
      </c>
      <c r="I163" s="115">
        <f>E163/Introduction!$I$20</f>
        <v>0.001555036463</v>
      </c>
      <c r="J163" s="142">
        <f t="shared" si="7"/>
        <v>0.0004949823222</v>
      </c>
      <c r="K163" s="51"/>
      <c r="L163" s="51"/>
      <c r="M163" s="51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  <c r="BV163" s="54"/>
      <c r="BW163" s="54"/>
      <c r="BX163" s="54"/>
      <c r="BY163" s="54"/>
      <c r="BZ163" s="54"/>
      <c r="CA163" s="54"/>
      <c r="CB163" s="54"/>
      <c r="CC163" s="54"/>
      <c r="CD163" s="54"/>
      <c r="CE163" s="54"/>
      <c r="CF163" s="54"/>
      <c r="CG163" s="54"/>
      <c r="CH163" s="54"/>
      <c r="CI163" s="54"/>
      <c r="CJ163" s="54"/>
      <c r="CK163" s="54"/>
      <c r="CL163" s="54"/>
      <c r="CM163" s="54"/>
      <c r="CN163" s="54"/>
      <c r="CO163" s="54"/>
      <c r="CP163" s="54"/>
      <c r="CQ163" s="54"/>
      <c r="CR163" s="54"/>
      <c r="CS163" s="54"/>
      <c r="CT163" s="54"/>
      <c r="CU163" s="54"/>
    </row>
    <row r="164" ht="15.75" customHeight="1">
      <c r="A164" s="51"/>
      <c r="B164" s="306" t="s">
        <v>618</v>
      </c>
      <c r="C164" s="119">
        <f>Standing!$C$75/2</f>
        <v>3.274168854</v>
      </c>
      <c r="D164" s="218">
        <f t="shared" si="3"/>
        <v>1.042197878</v>
      </c>
      <c r="E164" s="190">
        <f t="shared" ref="E164:E361" si="12">C164*25.4</f>
        <v>83.16388889</v>
      </c>
      <c r="F164" s="122">
        <f t="shared" ref="F164:F361" si="13">E164/3.1416</f>
        <v>26.4718261</v>
      </c>
      <c r="G164" s="123">
        <f>C164/Introduction!$I$20</f>
        <v>0.03410592556</v>
      </c>
      <c r="H164" s="192">
        <f t="shared" si="6"/>
        <v>0.0108562279</v>
      </c>
      <c r="I164" s="124">
        <f>E164/Introduction!$I$20</f>
        <v>0.8662905093</v>
      </c>
      <c r="J164" s="125">
        <f t="shared" si="7"/>
        <v>0.2757481886</v>
      </c>
      <c r="K164" s="51"/>
      <c r="L164" s="51"/>
      <c r="M164" s="51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  <c r="CO164" s="54"/>
      <c r="CP164" s="54"/>
      <c r="CQ164" s="54"/>
      <c r="CR164" s="54"/>
      <c r="CS164" s="54"/>
      <c r="CT164" s="54"/>
      <c r="CU164" s="54"/>
    </row>
    <row r="165" ht="15.75" customHeight="1">
      <c r="A165" s="51"/>
      <c r="B165" s="307" t="s">
        <v>619</v>
      </c>
      <c r="C165" s="119">
        <f>Standing!C75/4</f>
        <v>1.637084427</v>
      </c>
      <c r="D165" s="218">
        <f t="shared" si="3"/>
        <v>0.5210989391</v>
      </c>
      <c r="E165" s="190">
        <f t="shared" si="12"/>
        <v>41.58194444</v>
      </c>
      <c r="F165" s="122">
        <f t="shared" si="13"/>
        <v>13.23591305</v>
      </c>
      <c r="G165" s="123">
        <f>C165/Introduction!$I$20</f>
        <v>0.01705296278</v>
      </c>
      <c r="H165" s="192">
        <f t="shared" si="6"/>
        <v>0.005428113949</v>
      </c>
      <c r="I165" s="124">
        <f>E165/Introduction!$I$20</f>
        <v>0.4331452546</v>
      </c>
      <c r="J165" s="125">
        <f t="shared" si="7"/>
        <v>0.1378740943</v>
      </c>
      <c r="K165" s="51"/>
      <c r="L165" s="51"/>
      <c r="M165" s="51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  <c r="CO165" s="54"/>
      <c r="CP165" s="54"/>
      <c r="CQ165" s="54"/>
      <c r="CR165" s="54"/>
      <c r="CS165" s="54"/>
      <c r="CT165" s="54"/>
      <c r="CU165" s="54"/>
    </row>
    <row r="166" ht="15.75" customHeight="1">
      <c r="A166" s="51"/>
      <c r="B166" s="307" t="s">
        <v>620</v>
      </c>
      <c r="C166" s="119">
        <f>Standing!C75*0.375</f>
        <v>2.45562664</v>
      </c>
      <c r="D166" s="218">
        <f t="shared" si="3"/>
        <v>0.7816484086</v>
      </c>
      <c r="E166" s="190">
        <f t="shared" si="12"/>
        <v>62.37291667</v>
      </c>
      <c r="F166" s="122">
        <f t="shared" si="13"/>
        <v>19.85386958</v>
      </c>
      <c r="G166" s="123">
        <f>C166/Introduction!$I$20</f>
        <v>0.02557944417</v>
      </c>
      <c r="H166" s="192">
        <f t="shared" si="6"/>
        <v>0.008142170923</v>
      </c>
      <c r="I166" s="124">
        <f>E166/Introduction!$I$20</f>
        <v>0.6497178819</v>
      </c>
      <c r="J166" s="125">
        <f t="shared" si="7"/>
        <v>0.2068111414</v>
      </c>
      <c r="K166" s="51"/>
      <c r="L166" s="51"/>
      <c r="M166" s="51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</row>
    <row r="167" ht="15.75" customHeight="1">
      <c r="A167" s="51"/>
      <c r="B167" s="307" t="s">
        <v>621</v>
      </c>
      <c r="C167" s="119">
        <f>AE136</f>
        <v>4.25641951</v>
      </c>
      <c r="D167" s="218">
        <f t="shared" si="3"/>
        <v>1.354857242</v>
      </c>
      <c r="E167" s="190">
        <f t="shared" si="12"/>
        <v>108.1130556</v>
      </c>
      <c r="F167" s="122">
        <f t="shared" si="13"/>
        <v>34.41337394</v>
      </c>
      <c r="G167" s="123">
        <f>C167/Introduction!$I$20</f>
        <v>0.04433770323</v>
      </c>
      <c r="H167" s="192">
        <f t="shared" si="6"/>
        <v>0.01411309627</v>
      </c>
      <c r="I167" s="124">
        <f>E167/Introduction!$I$20</f>
        <v>1.126177662</v>
      </c>
      <c r="J167" s="125">
        <f t="shared" si="7"/>
        <v>0.3584726452</v>
      </c>
      <c r="K167" s="51"/>
      <c r="L167" s="51"/>
      <c r="M167" s="51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</row>
    <row r="168" ht="15.75" customHeight="1">
      <c r="A168" s="51"/>
      <c r="B168" s="307" t="s">
        <v>622</v>
      </c>
      <c r="C168" s="119">
        <f>Standing!C75*0.225</f>
        <v>1.473375984</v>
      </c>
      <c r="D168" s="218">
        <f t="shared" si="3"/>
        <v>0.4689890452</v>
      </c>
      <c r="E168" s="190">
        <f t="shared" si="12"/>
        <v>37.42375</v>
      </c>
      <c r="F168" s="122">
        <f t="shared" si="13"/>
        <v>11.91232175</v>
      </c>
      <c r="G168" s="123">
        <f>C168/Introduction!$I$20</f>
        <v>0.0153476665</v>
      </c>
      <c r="H168" s="192">
        <f t="shared" si="6"/>
        <v>0.004885302554</v>
      </c>
      <c r="I168" s="124">
        <f>E168/Introduction!$I$20</f>
        <v>0.3898307292</v>
      </c>
      <c r="J168" s="125">
        <f t="shared" si="7"/>
        <v>0.1240866849</v>
      </c>
      <c r="K168" s="51"/>
      <c r="L168" s="51"/>
      <c r="M168" s="51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</row>
    <row r="169" ht="15.75" customHeight="1">
      <c r="A169" s="51"/>
      <c r="B169" s="307" t="s">
        <v>623</v>
      </c>
      <c r="C169" s="119">
        <f t="shared" ref="C169:C170" si="14">C165</f>
        <v>1.637084427</v>
      </c>
      <c r="D169" s="218">
        <f t="shared" si="3"/>
        <v>0.5210989391</v>
      </c>
      <c r="E169" s="190">
        <f t="shared" si="12"/>
        <v>41.58194444</v>
      </c>
      <c r="F169" s="122">
        <f t="shared" si="13"/>
        <v>13.23591305</v>
      </c>
      <c r="G169" s="123">
        <f>C169/Introduction!$I$20</f>
        <v>0.01705296278</v>
      </c>
      <c r="H169" s="192">
        <f t="shared" si="6"/>
        <v>0.005428113949</v>
      </c>
      <c r="I169" s="124">
        <f>E169/Introduction!$I$20</f>
        <v>0.4331452546</v>
      </c>
      <c r="J169" s="125">
        <f t="shared" si="7"/>
        <v>0.1378740943</v>
      </c>
      <c r="K169" s="51"/>
      <c r="L169" s="51"/>
      <c r="M169" s="51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</row>
    <row r="170" ht="15.75" customHeight="1">
      <c r="A170" s="51"/>
      <c r="B170" s="307" t="s">
        <v>624</v>
      </c>
      <c r="C170" s="119">
        <f t="shared" si="14"/>
        <v>2.45562664</v>
      </c>
      <c r="D170" s="218">
        <f t="shared" si="3"/>
        <v>0.7816484086</v>
      </c>
      <c r="E170" s="190">
        <f t="shared" si="12"/>
        <v>62.37291667</v>
      </c>
      <c r="F170" s="122">
        <f t="shared" si="13"/>
        <v>19.85386958</v>
      </c>
      <c r="G170" s="123">
        <f>C170/Introduction!$I$20</f>
        <v>0.02557944417</v>
      </c>
      <c r="H170" s="192">
        <f t="shared" si="6"/>
        <v>0.008142170923</v>
      </c>
      <c r="I170" s="124">
        <f>E170/Introduction!$I$20</f>
        <v>0.6497178819</v>
      </c>
      <c r="J170" s="125">
        <f t="shared" si="7"/>
        <v>0.2068111414</v>
      </c>
      <c r="K170" s="51"/>
      <c r="L170" s="51"/>
      <c r="M170" s="51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</row>
    <row r="171" ht="15.75" customHeight="1">
      <c r="A171" s="51"/>
      <c r="B171" s="307" t="s">
        <v>625</v>
      </c>
      <c r="C171" s="119">
        <f>Standing!C75*0.45</f>
        <v>2.946751968</v>
      </c>
      <c r="D171" s="218">
        <f t="shared" si="3"/>
        <v>0.9379780903</v>
      </c>
      <c r="E171" s="190">
        <f t="shared" si="12"/>
        <v>74.8475</v>
      </c>
      <c r="F171" s="122">
        <f t="shared" si="13"/>
        <v>23.82464349</v>
      </c>
      <c r="G171" s="123">
        <f>C171/Introduction!$I$20</f>
        <v>0.03069533301</v>
      </c>
      <c r="H171" s="192">
        <f t="shared" si="6"/>
        <v>0.009770605107</v>
      </c>
      <c r="I171" s="124">
        <f>E171/Introduction!$I$20</f>
        <v>0.7796614583</v>
      </c>
      <c r="J171" s="125">
        <f t="shared" si="7"/>
        <v>0.2481733697</v>
      </c>
      <c r="K171" s="51"/>
      <c r="L171" s="51"/>
      <c r="M171" s="51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  <c r="CS171" s="54"/>
      <c r="CT171" s="54"/>
      <c r="CU171" s="54"/>
    </row>
    <row r="172" ht="15.75" customHeight="1">
      <c r="A172" s="51"/>
      <c r="B172" s="307" t="s">
        <v>626</v>
      </c>
      <c r="C172" s="119">
        <f>Standing!C75*0.15</f>
        <v>0.9822506562</v>
      </c>
      <c r="D172" s="218">
        <f t="shared" si="3"/>
        <v>0.3126593634</v>
      </c>
      <c r="E172" s="190">
        <f t="shared" si="12"/>
        <v>24.94916667</v>
      </c>
      <c r="F172" s="122">
        <f t="shared" si="13"/>
        <v>7.941547831</v>
      </c>
      <c r="G172" s="123">
        <f>C172/Introduction!$I$20</f>
        <v>0.01023177767</v>
      </c>
      <c r="H172" s="192">
        <f t="shared" si="6"/>
        <v>0.003256868369</v>
      </c>
      <c r="I172" s="124">
        <f>E172/Introduction!$I$20</f>
        <v>0.2598871528</v>
      </c>
      <c r="J172" s="125">
        <f t="shared" si="7"/>
        <v>0.08272445658</v>
      </c>
      <c r="K172" s="51"/>
      <c r="L172" s="51"/>
      <c r="M172" s="51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  <c r="CO172" s="54"/>
      <c r="CP172" s="54"/>
      <c r="CQ172" s="54"/>
      <c r="CR172" s="54"/>
      <c r="CS172" s="54"/>
      <c r="CT172" s="54"/>
      <c r="CU172" s="54"/>
    </row>
    <row r="173" ht="15.75" customHeight="1">
      <c r="A173" s="51"/>
      <c r="B173" s="307" t="s">
        <v>627</v>
      </c>
      <c r="C173" s="119">
        <f>C171</f>
        <v>2.946751968</v>
      </c>
      <c r="D173" s="218">
        <f t="shared" si="3"/>
        <v>0.9379780903</v>
      </c>
      <c r="E173" s="190">
        <f t="shared" si="12"/>
        <v>74.8475</v>
      </c>
      <c r="F173" s="122">
        <f t="shared" si="13"/>
        <v>23.82464349</v>
      </c>
      <c r="G173" s="123">
        <f>C173/Introduction!$I$20</f>
        <v>0.03069533301</v>
      </c>
      <c r="H173" s="192">
        <f t="shared" si="6"/>
        <v>0.009770605107</v>
      </c>
      <c r="I173" s="124">
        <f>E173/Introduction!$I$20</f>
        <v>0.7796614583</v>
      </c>
      <c r="J173" s="125">
        <f t="shared" si="7"/>
        <v>0.2481733697</v>
      </c>
      <c r="K173" s="51"/>
      <c r="L173" s="51"/>
      <c r="M173" s="51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  <c r="CO173" s="54"/>
      <c r="CP173" s="54"/>
      <c r="CQ173" s="54"/>
      <c r="CR173" s="54"/>
      <c r="CS173" s="54"/>
      <c r="CT173" s="54"/>
      <c r="CU173" s="54"/>
    </row>
    <row r="174" ht="15.75" customHeight="1">
      <c r="A174" s="51"/>
      <c r="B174" s="307" t="s">
        <v>628</v>
      </c>
      <c r="C174" s="119">
        <f>Standing!C75*0.18</f>
        <v>1.178700787</v>
      </c>
      <c r="D174" s="218">
        <f t="shared" si="3"/>
        <v>0.3751912361</v>
      </c>
      <c r="E174" s="190">
        <f t="shared" si="12"/>
        <v>29.939</v>
      </c>
      <c r="F174" s="122">
        <f t="shared" si="13"/>
        <v>9.529857397</v>
      </c>
      <c r="G174" s="123">
        <f>C174/Introduction!$I$20</f>
        <v>0.0122781332</v>
      </c>
      <c r="H174" s="192">
        <f t="shared" si="6"/>
        <v>0.003908242043</v>
      </c>
      <c r="I174" s="124">
        <f>E174/Introduction!$I$20</f>
        <v>0.3118645833</v>
      </c>
      <c r="J174" s="125">
        <f t="shared" si="7"/>
        <v>0.09926934789</v>
      </c>
      <c r="K174" s="51"/>
      <c r="L174" s="51"/>
      <c r="M174" s="51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</row>
    <row r="175" ht="15.75" customHeight="1">
      <c r="A175" s="51"/>
      <c r="B175" s="307" t="s">
        <v>629</v>
      </c>
      <c r="C175" s="119">
        <f>IF(Standing!$C$75*0.33&gt;2.5,Standing!$C$75*0.33,2.5)</f>
        <v>2.5</v>
      </c>
      <c r="D175" s="218">
        <f t="shared" si="3"/>
        <v>0.7957728546</v>
      </c>
      <c r="E175" s="190">
        <f t="shared" si="12"/>
        <v>63.5</v>
      </c>
      <c r="F175" s="122">
        <f t="shared" si="13"/>
        <v>20.21263051</v>
      </c>
      <c r="G175" s="123">
        <f>C175/Introduction!$I$20</f>
        <v>0.02604166667</v>
      </c>
      <c r="H175" s="192">
        <f t="shared" si="6"/>
        <v>0.008289300569</v>
      </c>
      <c r="I175" s="124">
        <f>E175/Introduction!$I$20</f>
        <v>0.6614583333</v>
      </c>
      <c r="J175" s="125">
        <f t="shared" si="7"/>
        <v>0.2105482344</v>
      </c>
      <c r="K175" s="51"/>
      <c r="L175" s="51"/>
      <c r="M175" s="51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  <c r="CS175" s="54"/>
      <c r="CT175" s="54"/>
      <c r="CU175" s="54"/>
    </row>
    <row r="176" ht="15.75" customHeight="1">
      <c r="A176" s="51"/>
      <c r="B176" s="307" t="s">
        <v>630</v>
      </c>
      <c r="C176" s="119">
        <f>IF(AF136&gt;2.5,AF136,2.5)</f>
        <v>2.5</v>
      </c>
      <c r="D176" s="218">
        <f t="shared" si="3"/>
        <v>0.7957728546</v>
      </c>
      <c r="E176" s="190">
        <f t="shared" si="12"/>
        <v>63.5</v>
      </c>
      <c r="F176" s="122">
        <f t="shared" si="13"/>
        <v>20.21263051</v>
      </c>
      <c r="G176" s="123">
        <f>C176/Introduction!$I$20</f>
        <v>0.02604166667</v>
      </c>
      <c r="H176" s="192">
        <f t="shared" si="6"/>
        <v>0.008289300569</v>
      </c>
      <c r="I176" s="124">
        <f>E176/Introduction!$I$20</f>
        <v>0.6614583333</v>
      </c>
      <c r="J176" s="125">
        <f t="shared" si="7"/>
        <v>0.2105482344</v>
      </c>
      <c r="K176" s="51"/>
      <c r="L176" s="51"/>
      <c r="M176" s="51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  <c r="CS176" s="54"/>
      <c r="CT176" s="54"/>
      <c r="CU176" s="54"/>
    </row>
    <row r="177" ht="15.75" customHeight="1">
      <c r="A177" s="51"/>
      <c r="B177" s="307" t="s">
        <v>631</v>
      </c>
      <c r="C177" s="119">
        <f>IF(Standing!$C$75*0.187&gt;2.5,Standing!$C$75*0.187,2.5)</f>
        <v>2.5</v>
      </c>
      <c r="D177" s="218">
        <f t="shared" si="3"/>
        <v>0.7957728546</v>
      </c>
      <c r="E177" s="190">
        <f t="shared" si="12"/>
        <v>63.5</v>
      </c>
      <c r="F177" s="122">
        <f t="shared" si="13"/>
        <v>20.21263051</v>
      </c>
      <c r="G177" s="123">
        <f>C177/Introduction!$I$20</f>
        <v>0.02604166667</v>
      </c>
      <c r="H177" s="192">
        <f t="shared" si="6"/>
        <v>0.008289300569</v>
      </c>
      <c r="I177" s="124">
        <f>E177/Introduction!$I$20</f>
        <v>0.6614583333</v>
      </c>
      <c r="J177" s="125">
        <f t="shared" si="7"/>
        <v>0.2105482344</v>
      </c>
      <c r="K177" s="51"/>
      <c r="L177" s="51"/>
      <c r="M177" s="51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  <c r="CS177" s="54"/>
      <c r="CT177" s="54"/>
      <c r="CU177" s="54"/>
    </row>
    <row r="178" ht="15.75" customHeight="1">
      <c r="A178" s="51"/>
      <c r="B178" s="307" t="s">
        <v>632</v>
      </c>
      <c r="C178" s="119">
        <f>C175</f>
        <v>2.5</v>
      </c>
      <c r="D178" s="218">
        <f t="shared" si="3"/>
        <v>0.7957728546</v>
      </c>
      <c r="E178" s="190">
        <f t="shared" si="12"/>
        <v>63.5</v>
      </c>
      <c r="F178" s="122">
        <f t="shared" si="13"/>
        <v>20.21263051</v>
      </c>
      <c r="G178" s="123">
        <f>C178/Introduction!$I$20</f>
        <v>0.02604166667</v>
      </c>
      <c r="H178" s="192">
        <f t="shared" si="6"/>
        <v>0.008289300569</v>
      </c>
      <c r="I178" s="124">
        <f>E178/Introduction!$I$20</f>
        <v>0.6614583333</v>
      </c>
      <c r="J178" s="125">
        <f t="shared" si="7"/>
        <v>0.2105482344</v>
      </c>
      <c r="K178" s="51"/>
      <c r="L178" s="51"/>
      <c r="M178" s="51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  <c r="CS178" s="54"/>
      <c r="CT178" s="54"/>
      <c r="CU178" s="54"/>
    </row>
    <row r="179" ht="15.75" customHeight="1">
      <c r="A179" s="51"/>
      <c r="B179" s="307" t="s">
        <v>633</v>
      </c>
      <c r="C179" s="119">
        <f>IF(Standing!$C$75*0.1&gt;1,Standing!$C$75*0.1,1)</f>
        <v>1</v>
      </c>
      <c r="D179" s="218">
        <f t="shared" si="3"/>
        <v>0.3183091418</v>
      </c>
      <c r="E179" s="190">
        <f t="shared" si="12"/>
        <v>25.4</v>
      </c>
      <c r="F179" s="122">
        <f t="shared" si="13"/>
        <v>8.085052203</v>
      </c>
      <c r="G179" s="123">
        <f>C179/Introduction!$I$20</f>
        <v>0.01041666667</v>
      </c>
      <c r="H179" s="192">
        <f t="shared" si="6"/>
        <v>0.003315720227</v>
      </c>
      <c r="I179" s="124">
        <f>E179/Introduction!$I$20</f>
        <v>0.2645833333</v>
      </c>
      <c r="J179" s="125">
        <f t="shared" si="7"/>
        <v>0.08421929378</v>
      </c>
      <c r="K179" s="51"/>
      <c r="L179" s="51"/>
      <c r="M179" s="51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</row>
    <row r="180" ht="15.75" customHeight="1">
      <c r="A180" s="51"/>
      <c r="B180" s="307" t="s">
        <v>634</v>
      </c>
      <c r="C180" s="119">
        <f>Standing!$C$75*0.2</f>
        <v>1.309667542</v>
      </c>
      <c r="D180" s="218">
        <f t="shared" si="3"/>
        <v>0.4168791512</v>
      </c>
      <c r="E180" s="190">
        <f t="shared" si="12"/>
        <v>33.26555556</v>
      </c>
      <c r="F180" s="122">
        <f t="shared" si="13"/>
        <v>10.58873044</v>
      </c>
      <c r="G180" s="123">
        <f>C180/Introduction!$I$20</f>
        <v>0.01364237022</v>
      </c>
      <c r="H180" s="192">
        <f t="shared" si="6"/>
        <v>0.004342491159</v>
      </c>
      <c r="I180" s="124">
        <f>E180/Introduction!$I$20</f>
        <v>0.3465162037</v>
      </c>
      <c r="J180" s="125">
        <f t="shared" si="7"/>
        <v>0.1102992754</v>
      </c>
      <c r="K180" s="51"/>
      <c r="L180" s="51"/>
      <c r="M180" s="51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4"/>
      <c r="BR180" s="54"/>
      <c r="BS180" s="54"/>
      <c r="BT180" s="54"/>
      <c r="BU180" s="54"/>
      <c r="BV180" s="54"/>
      <c r="BW180" s="54"/>
      <c r="BX180" s="54"/>
      <c r="BY180" s="54"/>
      <c r="BZ180" s="54"/>
      <c r="CA180" s="54"/>
      <c r="CB180" s="54"/>
      <c r="CC180" s="54"/>
      <c r="CD180" s="54"/>
      <c r="CE180" s="54"/>
      <c r="CF180" s="54"/>
      <c r="CG180" s="54"/>
      <c r="CH180" s="54"/>
      <c r="CI180" s="54"/>
      <c r="CJ180" s="54"/>
      <c r="CK180" s="54"/>
      <c r="CL180" s="54"/>
      <c r="CM180" s="54"/>
      <c r="CN180" s="54"/>
      <c r="CO180" s="54"/>
      <c r="CP180" s="54"/>
      <c r="CQ180" s="54"/>
      <c r="CR180" s="54"/>
      <c r="CS180" s="54"/>
      <c r="CT180" s="54"/>
      <c r="CU180" s="54"/>
    </row>
    <row r="181" ht="15.75" customHeight="1">
      <c r="A181" s="51"/>
      <c r="B181" s="307" t="s">
        <v>635</v>
      </c>
      <c r="C181" s="119">
        <f>Standing!$C$75*0.4</f>
        <v>2.619335083</v>
      </c>
      <c r="D181" s="218">
        <f t="shared" si="3"/>
        <v>0.8337583025</v>
      </c>
      <c r="E181" s="190">
        <f t="shared" si="12"/>
        <v>66.53111111</v>
      </c>
      <c r="F181" s="122">
        <f t="shared" si="13"/>
        <v>21.17746088</v>
      </c>
      <c r="G181" s="123">
        <f>C181/Introduction!$I$20</f>
        <v>0.02728474045</v>
      </c>
      <c r="H181" s="192">
        <f t="shared" si="6"/>
        <v>0.008684982318</v>
      </c>
      <c r="I181" s="124">
        <f>E181/Introduction!$I$20</f>
        <v>0.6930324074</v>
      </c>
      <c r="J181" s="125">
        <f t="shared" si="7"/>
        <v>0.2205985509</v>
      </c>
      <c r="K181" s="51"/>
      <c r="L181" s="51"/>
      <c r="M181" s="51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4"/>
      <c r="BR181" s="54"/>
      <c r="BS181" s="54"/>
      <c r="BT181" s="54"/>
      <c r="BU181" s="54"/>
      <c r="BV181" s="54"/>
      <c r="BW181" s="54"/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  <c r="CH181" s="54"/>
      <c r="CI181" s="54"/>
      <c r="CJ181" s="54"/>
      <c r="CK181" s="54"/>
      <c r="CL181" s="54"/>
      <c r="CM181" s="54"/>
      <c r="CN181" s="54"/>
      <c r="CO181" s="54"/>
      <c r="CP181" s="54"/>
      <c r="CQ181" s="54"/>
      <c r="CR181" s="54"/>
      <c r="CS181" s="54"/>
      <c r="CT181" s="54"/>
      <c r="CU181" s="54"/>
    </row>
    <row r="182" ht="15.75" customHeight="1">
      <c r="A182" s="51"/>
      <c r="B182" s="307" t="s">
        <v>636</v>
      </c>
      <c r="C182" s="119">
        <f>Standing!$C$75*0.244</f>
        <v>1.597794401</v>
      </c>
      <c r="D182" s="218">
        <f t="shared" si="3"/>
        <v>0.5085925645</v>
      </c>
      <c r="E182" s="190">
        <f t="shared" si="12"/>
        <v>40.58397778</v>
      </c>
      <c r="F182" s="122">
        <f t="shared" si="13"/>
        <v>12.91825114</v>
      </c>
      <c r="G182" s="123">
        <f>C182/Introduction!$I$20</f>
        <v>0.01664369167</v>
      </c>
      <c r="H182" s="192">
        <f t="shared" si="6"/>
        <v>0.005297839214</v>
      </c>
      <c r="I182" s="124">
        <f>E182/Introduction!$I$20</f>
        <v>0.4227497685</v>
      </c>
      <c r="J182" s="125">
        <f t="shared" si="7"/>
        <v>0.134565116</v>
      </c>
      <c r="K182" s="51"/>
      <c r="L182" s="51"/>
      <c r="M182" s="51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4"/>
      <c r="BR182" s="54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4"/>
      <c r="CN182" s="54"/>
      <c r="CO182" s="54"/>
      <c r="CP182" s="54"/>
      <c r="CQ182" s="54"/>
      <c r="CR182" s="54"/>
      <c r="CS182" s="54"/>
      <c r="CT182" s="54"/>
      <c r="CU182" s="54"/>
    </row>
    <row r="183" ht="15.75" customHeight="1">
      <c r="A183" s="51"/>
      <c r="B183" s="307" t="s">
        <v>637</v>
      </c>
      <c r="C183" s="119">
        <f>IF(Standing!$C$75*0.125&gt;1,Standing!$C$75*0.125,1)</f>
        <v>1</v>
      </c>
      <c r="D183" s="218">
        <f t="shared" si="3"/>
        <v>0.3183091418</v>
      </c>
      <c r="E183" s="190">
        <f t="shared" si="12"/>
        <v>25.4</v>
      </c>
      <c r="F183" s="122">
        <f t="shared" si="13"/>
        <v>8.085052203</v>
      </c>
      <c r="G183" s="123">
        <f>C183/Introduction!$I$20</f>
        <v>0.01041666667</v>
      </c>
      <c r="H183" s="192">
        <f t="shared" si="6"/>
        <v>0.003315720227</v>
      </c>
      <c r="I183" s="124">
        <f>E183/Introduction!$I$20</f>
        <v>0.2645833333</v>
      </c>
      <c r="J183" s="125">
        <f t="shared" si="7"/>
        <v>0.08421929378</v>
      </c>
      <c r="K183" s="51"/>
      <c r="L183" s="51"/>
      <c r="M183" s="51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4"/>
      <c r="BR183" s="54"/>
      <c r="BS183" s="54"/>
      <c r="BT183" s="54"/>
      <c r="BU183" s="54"/>
      <c r="BV183" s="54"/>
      <c r="BW183" s="54"/>
      <c r="BX183" s="54"/>
      <c r="BY183" s="54"/>
      <c r="BZ183" s="54"/>
      <c r="CA183" s="54"/>
      <c r="CB183" s="54"/>
      <c r="CC183" s="54"/>
      <c r="CD183" s="54"/>
      <c r="CE183" s="54"/>
      <c r="CF183" s="54"/>
      <c r="CG183" s="54"/>
      <c r="CH183" s="54"/>
      <c r="CI183" s="54"/>
      <c r="CJ183" s="54"/>
      <c r="CK183" s="54"/>
      <c r="CL183" s="54"/>
      <c r="CM183" s="54"/>
      <c r="CN183" s="54"/>
      <c r="CO183" s="54"/>
      <c r="CP183" s="54"/>
      <c r="CQ183" s="54"/>
      <c r="CR183" s="54"/>
      <c r="CS183" s="54"/>
      <c r="CT183" s="54"/>
      <c r="CU183" s="54"/>
    </row>
    <row r="184" ht="15.75" customHeight="1">
      <c r="A184" s="51"/>
      <c r="B184" s="307" t="s">
        <v>638</v>
      </c>
      <c r="C184" s="119">
        <f>Standing!$C$75*0.187</f>
        <v>1.224539151</v>
      </c>
      <c r="D184" s="218">
        <f t="shared" si="3"/>
        <v>0.3897820064</v>
      </c>
      <c r="E184" s="190">
        <f t="shared" si="12"/>
        <v>31.10329444</v>
      </c>
      <c r="F184" s="122">
        <f t="shared" si="13"/>
        <v>9.900462963</v>
      </c>
      <c r="G184" s="123">
        <f>C184/Introduction!$I$20</f>
        <v>0.01275561616</v>
      </c>
      <c r="H184" s="192">
        <f t="shared" si="6"/>
        <v>0.004060229233</v>
      </c>
      <c r="I184" s="124">
        <f>E184/Introduction!$I$20</f>
        <v>0.3239926505</v>
      </c>
      <c r="J184" s="125">
        <f t="shared" si="7"/>
        <v>0.1031298225</v>
      </c>
      <c r="K184" s="51"/>
      <c r="L184" s="51"/>
      <c r="M184" s="51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4"/>
      <c r="BR184" s="54"/>
      <c r="BS184" s="54"/>
      <c r="BT184" s="54"/>
      <c r="BU184" s="54"/>
      <c r="BV184" s="54"/>
      <c r="BW184" s="54"/>
      <c r="BX184" s="54"/>
      <c r="BY184" s="54"/>
      <c r="BZ184" s="54"/>
      <c r="CA184" s="54"/>
      <c r="CB184" s="54"/>
      <c r="CC184" s="54"/>
      <c r="CD184" s="54"/>
      <c r="CE184" s="54"/>
      <c r="CF184" s="54"/>
      <c r="CG184" s="54"/>
      <c r="CH184" s="54"/>
      <c r="CI184" s="54"/>
      <c r="CJ184" s="54"/>
      <c r="CK184" s="54"/>
      <c r="CL184" s="54"/>
      <c r="CM184" s="54"/>
      <c r="CN184" s="54"/>
      <c r="CO184" s="54"/>
      <c r="CP184" s="54"/>
      <c r="CQ184" s="54"/>
      <c r="CR184" s="54"/>
      <c r="CS184" s="54"/>
      <c r="CT184" s="54"/>
      <c r="CU184" s="54"/>
    </row>
    <row r="185" ht="15.75" customHeight="1">
      <c r="A185" s="51"/>
      <c r="B185" s="307" t="s">
        <v>639</v>
      </c>
      <c r="C185" s="119">
        <f>Standing!$C$75*0.168</f>
        <v>1.100120735</v>
      </c>
      <c r="D185" s="218">
        <f t="shared" si="3"/>
        <v>0.350178487</v>
      </c>
      <c r="E185" s="190">
        <f t="shared" si="12"/>
        <v>27.94306667</v>
      </c>
      <c r="F185" s="122">
        <f t="shared" si="13"/>
        <v>8.894533571</v>
      </c>
      <c r="G185" s="123">
        <f>C185/Introduction!$I$20</f>
        <v>0.01145959099</v>
      </c>
      <c r="H185" s="192">
        <f t="shared" si="6"/>
        <v>0.003647692573</v>
      </c>
      <c r="I185" s="124">
        <f>E185/Introduction!$I$20</f>
        <v>0.2910736111</v>
      </c>
      <c r="J185" s="125">
        <f t="shared" si="7"/>
        <v>0.09265139136</v>
      </c>
      <c r="K185" s="51"/>
      <c r="L185" s="51"/>
      <c r="M185" s="51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4"/>
      <c r="BR185" s="54"/>
      <c r="BS185" s="54"/>
      <c r="BT185" s="54"/>
      <c r="BU185" s="54"/>
      <c r="BV185" s="54"/>
      <c r="BW185" s="54"/>
      <c r="BX185" s="54"/>
      <c r="BY185" s="54"/>
      <c r="BZ185" s="54"/>
      <c r="CA185" s="54"/>
      <c r="CB185" s="54"/>
      <c r="CC185" s="54"/>
      <c r="CD185" s="54"/>
      <c r="CE185" s="54"/>
      <c r="CF185" s="54"/>
      <c r="CG185" s="54"/>
      <c r="CH185" s="54"/>
      <c r="CI185" s="54"/>
      <c r="CJ185" s="54"/>
      <c r="CK185" s="54"/>
      <c r="CL185" s="54"/>
      <c r="CM185" s="54"/>
      <c r="CN185" s="54"/>
      <c r="CO185" s="54"/>
      <c r="CP185" s="54"/>
      <c r="CQ185" s="54"/>
      <c r="CR185" s="54"/>
      <c r="CS185" s="54"/>
      <c r="CT185" s="54"/>
      <c r="CU185" s="54"/>
    </row>
    <row r="186" ht="15.75" customHeight="1">
      <c r="A186" s="51"/>
      <c r="B186" s="307" t="s">
        <v>640</v>
      </c>
      <c r="C186" s="119">
        <f>AG136</f>
        <v>1.309667542</v>
      </c>
      <c r="D186" s="218">
        <f t="shared" si="3"/>
        <v>0.4168791512</v>
      </c>
      <c r="E186" s="190">
        <f t="shared" si="12"/>
        <v>33.26555556</v>
      </c>
      <c r="F186" s="122">
        <f t="shared" si="13"/>
        <v>10.58873044</v>
      </c>
      <c r="G186" s="123">
        <f>C186/Introduction!$I$20</f>
        <v>0.01364237022</v>
      </c>
      <c r="H186" s="192">
        <f t="shared" si="6"/>
        <v>0.004342491159</v>
      </c>
      <c r="I186" s="124">
        <f>E186/Introduction!$I$20</f>
        <v>0.3465162037</v>
      </c>
      <c r="J186" s="125">
        <f t="shared" si="7"/>
        <v>0.1102992754</v>
      </c>
      <c r="K186" s="51"/>
      <c r="L186" s="51"/>
      <c r="M186" s="51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4"/>
      <c r="BR186" s="54"/>
      <c r="BS186" s="54"/>
      <c r="BT186" s="54"/>
      <c r="BU186" s="54"/>
      <c r="BV186" s="54"/>
      <c r="BW186" s="54"/>
      <c r="BX186" s="54"/>
      <c r="BY186" s="54"/>
      <c r="BZ186" s="54"/>
      <c r="CA186" s="54"/>
      <c r="CB186" s="54"/>
      <c r="CC186" s="54"/>
      <c r="CD186" s="54"/>
      <c r="CE186" s="54"/>
      <c r="CF186" s="54"/>
      <c r="CG186" s="54"/>
      <c r="CH186" s="54"/>
      <c r="CI186" s="54"/>
      <c r="CJ186" s="54"/>
      <c r="CK186" s="54"/>
      <c r="CL186" s="54"/>
      <c r="CM186" s="54"/>
      <c r="CN186" s="54"/>
      <c r="CO186" s="54"/>
      <c r="CP186" s="54"/>
      <c r="CQ186" s="54"/>
      <c r="CR186" s="54"/>
      <c r="CS186" s="54"/>
      <c r="CT186" s="54"/>
      <c r="CU186" s="54"/>
    </row>
    <row r="187" ht="15.75" customHeight="1">
      <c r="A187" s="51"/>
      <c r="B187" s="307" t="s">
        <v>641</v>
      </c>
      <c r="C187" s="119">
        <f>Standing!$C$75*0.198</f>
        <v>1.296570866</v>
      </c>
      <c r="D187" s="218">
        <f t="shared" si="3"/>
        <v>0.4127103597</v>
      </c>
      <c r="E187" s="190">
        <f t="shared" si="12"/>
        <v>32.9329</v>
      </c>
      <c r="F187" s="122">
        <f t="shared" si="13"/>
        <v>10.48284314</v>
      </c>
      <c r="G187" s="123">
        <f>C187/Introduction!$I$20</f>
        <v>0.01350594652</v>
      </c>
      <c r="H187" s="192">
        <f t="shared" si="6"/>
        <v>0.004299066247</v>
      </c>
      <c r="I187" s="124">
        <f>E187/Introduction!$I$20</f>
        <v>0.3430510417</v>
      </c>
      <c r="J187" s="125">
        <f t="shared" si="7"/>
        <v>0.1091962827</v>
      </c>
      <c r="K187" s="51"/>
      <c r="L187" s="51"/>
      <c r="M187" s="51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54"/>
      <c r="BT187" s="54"/>
      <c r="BU187" s="54"/>
      <c r="BV187" s="54"/>
      <c r="BW187" s="54"/>
      <c r="BX187" s="54"/>
      <c r="BY187" s="54"/>
      <c r="BZ187" s="54"/>
      <c r="CA187" s="54"/>
      <c r="CB187" s="54"/>
      <c r="CC187" s="54"/>
      <c r="CD187" s="54"/>
      <c r="CE187" s="54"/>
      <c r="CF187" s="54"/>
      <c r="CG187" s="54"/>
      <c r="CH187" s="54"/>
      <c r="CI187" s="54"/>
      <c r="CJ187" s="54"/>
      <c r="CK187" s="54"/>
      <c r="CL187" s="54"/>
      <c r="CM187" s="54"/>
      <c r="CN187" s="54"/>
      <c r="CO187" s="54"/>
      <c r="CP187" s="54"/>
      <c r="CQ187" s="54"/>
      <c r="CR187" s="54"/>
      <c r="CS187" s="54"/>
      <c r="CT187" s="54"/>
      <c r="CU187" s="54"/>
    </row>
    <row r="188" ht="15.75" customHeight="1">
      <c r="A188" s="51"/>
      <c r="B188" s="307" t="s">
        <v>642</v>
      </c>
      <c r="C188" s="119">
        <f>Standing!$C$75*0.18</f>
        <v>1.178700787</v>
      </c>
      <c r="D188" s="218">
        <f t="shared" si="3"/>
        <v>0.3751912361</v>
      </c>
      <c r="E188" s="190">
        <f t="shared" si="12"/>
        <v>29.939</v>
      </c>
      <c r="F188" s="122">
        <f t="shared" si="13"/>
        <v>9.529857397</v>
      </c>
      <c r="G188" s="123">
        <f>C188/Introduction!$I$20</f>
        <v>0.0122781332</v>
      </c>
      <c r="H188" s="192">
        <f t="shared" si="6"/>
        <v>0.003908242043</v>
      </c>
      <c r="I188" s="124">
        <f>E188/Introduction!$I$20</f>
        <v>0.3118645833</v>
      </c>
      <c r="J188" s="125">
        <f t="shared" si="7"/>
        <v>0.09926934789</v>
      </c>
      <c r="K188" s="51"/>
      <c r="L188" s="51"/>
      <c r="M188" s="51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4"/>
      <c r="BR188" s="54"/>
      <c r="BS188" s="54"/>
      <c r="BT188" s="54"/>
      <c r="BU188" s="54"/>
      <c r="BV188" s="54"/>
      <c r="BW188" s="54"/>
      <c r="BX188" s="54"/>
      <c r="BY188" s="54"/>
      <c r="BZ188" s="54"/>
      <c r="CA188" s="54"/>
      <c r="CB188" s="54"/>
      <c r="CC188" s="54"/>
      <c r="CD188" s="54"/>
      <c r="CE188" s="54"/>
      <c r="CF188" s="54"/>
      <c r="CG188" s="54"/>
      <c r="CH188" s="54"/>
      <c r="CI188" s="54"/>
      <c r="CJ188" s="54"/>
      <c r="CK188" s="54"/>
      <c r="CL188" s="54"/>
      <c r="CM188" s="54"/>
      <c r="CN188" s="54"/>
      <c r="CO188" s="54"/>
      <c r="CP188" s="54"/>
      <c r="CQ188" s="54"/>
      <c r="CR188" s="54"/>
      <c r="CS188" s="54"/>
      <c r="CT188" s="54"/>
      <c r="CU188" s="54"/>
    </row>
    <row r="189" ht="15.75" customHeight="1">
      <c r="A189" s="51"/>
      <c r="B189" s="307" t="s">
        <v>643</v>
      </c>
      <c r="C189" s="119">
        <f>IF(Standing!$C$75*0.115&gt;1,Standing!$C$75*0.115,1)</f>
        <v>1</v>
      </c>
      <c r="D189" s="218">
        <f t="shared" si="3"/>
        <v>0.3183091418</v>
      </c>
      <c r="E189" s="190">
        <f t="shared" si="12"/>
        <v>25.4</v>
      </c>
      <c r="F189" s="122">
        <f t="shared" si="13"/>
        <v>8.085052203</v>
      </c>
      <c r="G189" s="123">
        <f>C189/Introduction!$I$20</f>
        <v>0.01041666667</v>
      </c>
      <c r="H189" s="192">
        <f t="shared" si="6"/>
        <v>0.003315720227</v>
      </c>
      <c r="I189" s="124">
        <f>E189/Introduction!$I$20</f>
        <v>0.2645833333</v>
      </c>
      <c r="J189" s="125">
        <f t="shared" si="7"/>
        <v>0.08421929378</v>
      </c>
      <c r="K189" s="51"/>
      <c r="L189" s="51"/>
      <c r="M189" s="51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4"/>
      <c r="BR189" s="54"/>
      <c r="BS189" s="54"/>
      <c r="BT189" s="54"/>
      <c r="BU189" s="54"/>
      <c r="BV189" s="54"/>
      <c r="BW189" s="54"/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  <c r="CH189" s="54"/>
      <c r="CI189" s="54"/>
      <c r="CJ189" s="54"/>
      <c r="CK189" s="54"/>
      <c r="CL189" s="54"/>
      <c r="CM189" s="54"/>
      <c r="CN189" s="54"/>
      <c r="CO189" s="54"/>
      <c r="CP189" s="54"/>
      <c r="CQ189" s="54"/>
      <c r="CR189" s="54"/>
      <c r="CS189" s="54"/>
      <c r="CT189" s="54"/>
      <c r="CU189" s="54"/>
    </row>
    <row r="190" ht="15.75" customHeight="1">
      <c r="A190" s="51"/>
      <c r="B190" s="307" t="s">
        <v>644</v>
      </c>
      <c r="C190" s="119">
        <f>Standing!$C$75*0.25</f>
        <v>1.637084427</v>
      </c>
      <c r="D190" s="218">
        <f t="shared" si="3"/>
        <v>0.5210989391</v>
      </c>
      <c r="E190" s="190">
        <f t="shared" si="12"/>
        <v>41.58194444</v>
      </c>
      <c r="F190" s="122">
        <f t="shared" si="13"/>
        <v>13.23591305</v>
      </c>
      <c r="G190" s="123">
        <f>C190/Introduction!$I$20</f>
        <v>0.01705296278</v>
      </c>
      <c r="H190" s="192">
        <f t="shared" si="6"/>
        <v>0.005428113949</v>
      </c>
      <c r="I190" s="124">
        <f>E190/Introduction!$I$20</f>
        <v>0.4331452546</v>
      </c>
      <c r="J190" s="125">
        <f t="shared" si="7"/>
        <v>0.1378740943</v>
      </c>
      <c r="K190" s="51"/>
      <c r="L190" s="51"/>
      <c r="M190" s="51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4"/>
      <c r="BR190" s="54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4"/>
      <c r="CN190" s="54"/>
      <c r="CO190" s="54"/>
      <c r="CP190" s="54"/>
      <c r="CQ190" s="54"/>
      <c r="CR190" s="54"/>
      <c r="CS190" s="54"/>
      <c r="CT190" s="54"/>
      <c r="CU190" s="54"/>
    </row>
    <row r="191" ht="15.75" customHeight="1">
      <c r="A191" s="51"/>
      <c r="B191" s="307" t="s">
        <v>645</v>
      </c>
      <c r="C191" s="119">
        <f>Standing!$C$75*0.2</f>
        <v>1.309667542</v>
      </c>
      <c r="D191" s="218">
        <f t="shared" si="3"/>
        <v>0.4168791512</v>
      </c>
      <c r="E191" s="190">
        <f t="shared" si="12"/>
        <v>33.26555556</v>
      </c>
      <c r="F191" s="122">
        <f t="shared" si="13"/>
        <v>10.58873044</v>
      </c>
      <c r="G191" s="123">
        <f>C191/Introduction!$I$20</f>
        <v>0.01364237022</v>
      </c>
      <c r="H191" s="192">
        <f t="shared" si="6"/>
        <v>0.004342491159</v>
      </c>
      <c r="I191" s="124">
        <f>E191/Introduction!$I$20</f>
        <v>0.3465162037</v>
      </c>
      <c r="J191" s="125">
        <f t="shared" si="7"/>
        <v>0.1102992754</v>
      </c>
      <c r="K191" s="51"/>
      <c r="L191" s="51"/>
      <c r="M191" s="51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54"/>
      <c r="CA191" s="54"/>
      <c r="CB191" s="54"/>
      <c r="CC191" s="54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54"/>
      <c r="CO191" s="54"/>
      <c r="CP191" s="54"/>
      <c r="CQ191" s="54"/>
      <c r="CR191" s="54"/>
      <c r="CS191" s="54"/>
      <c r="CT191" s="54"/>
      <c r="CU191" s="54"/>
    </row>
    <row r="192" ht="15.75" customHeight="1">
      <c r="A192" s="51"/>
      <c r="B192" s="307" t="s">
        <v>646</v>
      </c>
      <c r="C192" s="119">
        <f>Standing!$C$75*0.4</f>
        <v>2.619335083</v>
      </c>
      <c r="D192" s="218">
        <f t="shared" si="3"/>
        <v>0.8337583025</v>
      </c>
      <c r="E192" s="190">
        <f t="shared" si="12"/>
        <v>66.53111111</v>
      </c>
      <c r="F192" s="122">
        <f t="shared" si="13"/>
        <v>21.17746088</v>
      </c>
      <c r="G192" s="123">
        <f>C192/Introduction!$I$20</f>
        <v>0.02728474045</v>
      </c>
      <c r="H192" s="192">
        <f t="shared" si="6"/>
        <v>0.008684982318</v>
      </c>
      <c r="I192" s="124">
        <f>E192/Introduction!$I$20</f>
        <v>0.6930324074</v>
      </c>
      <c r="J192" s="125">
        <f t="shared" si="7"/>
        <v>0.2205985509</v>
      </c>
      <c r="K192" s="51"/>
      <c r="L192" s="51"/>
      <c r="M192" s="51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4"/>
      <c r="BR192" s="54"/>
      <c r="BS192" s="54"/>
      <c r="BT192" s="54"/>
      <c r="BU192" s="54"/>
      <c r="BV192" s="54"/>
      <c r="BW192" s="54"/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  <c r="CH192" s="54"/>
      <c r="CI192" s="54"/>
      <c r="CJ192" s="54"/>
      <c r="CK192" s="54"/>
      <c r="CL192" s="54"/>
      <c r="CM192" s="54"/>
      <c r="CN192" s="54"/>
      <c r="CO192" s="54"/>
      <c r="CP192" s="54"/>
      <c r="CQ192" s="54"/>
      <c r="CR192" s="54"/>
      <c r="CS192" s="54"/>
      <c r="CT192" s="54"/>
      <c r="CU192" s="54"/>
    </row>
    <row r="193" ht="15.75" customHeight="1">
      <c r="A193" s="51"/>
      <c r="B193" s="307" t="s">
        <v>647</v>
      </c>
      <c r="C193" s="119">
        <f>AH136</f>
        <v>3.274168854</v>
      </c>
      <c r="D193" s="218">
        <f t="shared" si="3"/>
        <v>1.042197878</v>
      </c>
      <c r="E193" s="190">
        <f t="shared" si="12"/>
        <v>83.16388889</v>
      </c>
      <c r="F193" s="122">
        <f t="shared" si="13"/>
        <v>26.4718261</v>
      </c>
      <c r="G193" s="123">
        <f>C193/Introduction!$I$20</f>
        <v>0.03410592556</v>
      </c>
      <c r="H193" s="192">
        <f t="shared" si="6"/>
        <v>0.0108562279</v>
      </c>
      <c r="I193" s="124">
        <f>E193/Introduction!$I$20</f>
        <v>0.8662905093</v>
      </c>
      <c r="J193" s="125">
        <f t="shared" si="7"/>
        <v>0.2757481886</v>
      </c>
      <c r="K193" s="51"/>
      <c r="L193" s="51"/>
      <c r="M193" s="51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4"/>
      <c r="BR193" s="54"/>
      <c r="BS193" s="54"/>
      <c r="BT193" s="54"/>
      <c r="BU193" s="54"/>
      <c r="BV193" s="54"/>
      <c r="BW193" s="54"/>
      <c r="BX193" s="54"/>
      <c r="BY193" s="54"/>
      <c r="BZ193" s="54"/>
      <c r="CA193" s="54"/>
      <c r="CB193" s="54"/>
      <c r="CC193" s="54"/>
      <c r="CD193" s="54"/>
      <c r="CE193" s="54"/>
      <c r="CF193" s="54"/>
      <c r="CG193" s="54"/>
      <c r="CH193" s="54"/>
      <c r="CI193" s="54"/>
      <c r="CJ193" s="54"/>
      <c r="CK193" s="54"/>
      <c r="CL193" s="54"/>
      <c r="CM193" s="54"/>
      <c r="CN193" s="54"/>
      <c r="CO193" s="54"/>
      <c r="CP193" s="54"/>
      <c r="CQ193" s="54"/>
      <c r="CR193" s="54"/>
      <c r="CS193" s="54"/>
      <c r="CT193" s="54"/>
      <c r="CU193" s="54"/>
    </row>
    <row r="194" ht="15.75" customHeight="1">
      <c r="A194" s="51"/>
      <c r="B194" s="307" t="s">
        <v>648</v>
      </c>
      <c r="C194" s="119">
        <f>Standing!$C$75*0.25</f>
        <v>1.637084427</v>
      </c>
      <c r="D194" s="218">
        <f t="shared" si="3"/>
        <v>0.5210989391</v>
      </c>
      <c r="E194" s="190">
        <f t="shared" si="12"/>
        <v>41.58194444</v>
      </c>
      <c r="F194" s="122">
        <f t="shared" si="13"/>
        <v>13.23591305</v>
      </c>
      <c r="G194" s="123">
        <f>C194/Introduction!$I$20</f>
        <v>0.01705296278</v>
      </c>
      <c r="H194" s="192">
        <f t="shared" si="6"/>
        <v>0.005428113949</v>
      </c>
      <c r="I194" s="124">
        <f>E194/Introduction!$I$20</f>
        <v>0.4331452546</v>
      </c>
      <c r="J194" s="125">
        <f t="shared" si="7"/>
        <v>0.1378740943</v>
      </c>
      <c r="K194" s="51"/>
      <c r="L194" s="51"/>
      <c r="M194" s="51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4"/>
      <c r="BR194" s="54"/>
      <c r="BS194" s="54"/>
      <c r="BT194" s="54"/>
      <c r="BU194" s="54"/>
      <c r="BV194" s="54"/>
      <c r="BW194" s="54"/>
      <c r="BX194" s="54"/>
      <c r="BY194" s="54"/>
      <c r="BZ194" s="54"/>
      <c r="CA194" s="54"/>
      <c r="CB194" s="54"/>
      <c r="CC194" s="54"/>
      <c r="CD194" s="54"/>
      <c r="CE194" s="54"/>
      <c r="CF194" s="54"/>
      <c r="CG194" s="54"/>
      <c r="CH194" s="54"/>
      <c r="CI194" s="54"/>
      <c r="CJ194" s="54"/>
      <c r="CK194" s="54"/>
      <c r="CL194" s="54"/>
      <c r="CM194" s="54"/>
      <c r="CN194" s="54"/>
      <c r="CO194" s="54"/>
      <c r="CP194" s="54"/>
      <c r="CQ194" s="54"/>
      <c r="CR194" s="54"/>
      <c r="CS194" s="54"/>
      <c r="CT194" s="54"/>
      <c r="CU194" s="54"/>
    </row>
    <row r="195" ht="15.75" customHeight="1">
      <c r="A195" s="51"/>
      <c r="B195" s="307" t="s">
        <v>649</v>
      </c>
      <c r="C195" s="119">
        <f>IF(Standing!$C$75*0.125&gt;1,Standing!$C$75*0.125,1)</f>
        <v>1</v>
      </c>
      <c r="D195" s="218">
        <f t="shared" si="3"/>
        <v>0.3183091418</v>
      </c>
      <c r="E195" s="190">
        <f t="shared" si="12"/>
        <v>25.4</v>
      </c>
      <c r="F195" s="122">
        <f t="shared" si="13"/>
        <v>8.085052203</v>
      </c>
      <c r="G195" s="123">
        <f>C195/Introduction!$I$20</f>
        <v>0.01041666667</v>
      </c>
      <c r="H195" s="192">
        <f t="shared" si="6"/>
        <v>0.003315720227</v>
      </c>
      <c r="I195" s="124">
        <f>E195/Introduction!$I$20</f>
        <v>0.2645833333</v>
      </c>
      <c r="J195" s="125">
        <f t="shared" si="7"/>
        <v>0.08421929378</v>
      </c>
      <c r="K195" s="51"/>
      <c r="L195" s="51"/>
      <c r="M195" s="51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4"/>
      <c r="BR195" s="54"/>
      <c r="BS195" s="54"/>
      <c r="BT195" s="54"/>
      <c r="BU195" s="54"/>
      <c r="BV195" s="54"/>
      <c r="BW195" s="54"/>
      <c r="BX195" s="54"/>
      <c r="BY195" s="54"/>
      <c r="BZ195" s="54"/>
      <c r="CA195" s="54"/>
      <c r="CB195" s="54"/>
      <c r="CC195" s="54"/>
      <c r="CD195" s="54"/>
      <c r="CE195" s="54"/>
      <c r="CF195" s="54"/>
      <c r="CG195" s="54"/>
      <c r="CH195" s="54"/>
      <c r="CI195" s="54"/>
      <c r="CJ195" s="54"/>
      <c r="CK195" s="54"/>
      <c r="CL195" s="54"/>
      <c r="CM195" s="54"/>
      <c r="CN195" s="54"/>
      <c r="CO195" s="54"/>
      <c r="CP195" s="54"/>
      <c r="CQ195" s="54"/>
      <c r="CR195" s="54"/>
      <c r="CS195" s="54"/>
      <c r="CT195" s="54"/>
      <c r="CU195" s="54"/>
    </row>
    <row r="196" ht="15.75" customHeight="1">
      <c r="A196" s="51"/>
      <c r="B196" s="307" t="s">
        <v>650</v>
      </c>
      <c r="C196" s="119">
        <f>IF(Standing!$C$75*0.1&gt;1,Standing!$C$75*0.1,1)</f>
        <v>1</v>
      </c>
      <c r="D196" s="218">
        <f t="shared" si="3"/>
        <v>0.3183091418</v>
      </c>
      <c r="E196" s="190">
        <f t="shared" si="12"/>
        <v>25.4</v>
      </c>
      <c r="F196" s="122">
        <f t="shared" si="13"/>
        <v>8.085052203</v>
      </c>
      <c r="G196" s="123">
        <f>C196/Introduction!$I$20</f>
        <v>0.01041666667</v>
      </c>
      <c r="H196" s="192">
        <f t="shared" si="6"/>
        <v>0.003315720227</v>
      </c>
      <c r="I196" s="124">
        <f>E196/Introduction!$I$20</f>
        <v>0.2645833333</v>
      </c>
      <c r="J196" s="125">
        <f t="shared" si="7"/>
        <v>0.08421929378</v>
      </c>
      <c r="K196" s="51"/>
      <c r="L196" s="51"/>
      <c r="M196" s="51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4"/>
      <c r="BR196" s="54"/>
      <c r="BS196" s="54"/>
      <c r="BT196" s="54"/>
      <c r="BU196" s="54"/>
      <c r="BV196" s="54"/>
      <c r="BW196" s="54"/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  <c r="CH196" s="54"/>
      <c r="CI196" s="54"/>
      <c r="CJ196" s="54"/>
      <c r="CK196" s="54"/>
      <c r="CL196" s="54"/>
      <c r="CM196" s="54"/>
      <c r="CN196" s="54"/>
      <c r="CO196" s="54"/>
      <c r="CP196" s="54"/>
      <c r="CQ196" s="54"/>
      <c r="CR196" s="54"/>
      <c r="CS196" s="54"/>
      <c r="CT196" s="54"/>
      <c r="CU196" s="54"/>
    </row>
    <row r="197" ht="15.75" customHeight="1">
      <c r="A197" s="51"/>
      <c r="B197" s="307" t="s">
        <v>651</v>
      </c>
      <c r="C197" s="119">
        <f>IF(Standing!$C$75*0.25&gt;2,Standing!$C$75*0.25,2)</f>
        <v>2</v>
      </c>
      <c r="D197" s="218">
        <f t="shared" si="3"/>
        <v>0.6366182837</v>
      </c>
      <c r="E197" s="190">
        <f t="shared" si="12"/>
        <v>50.8</v>
      </c>
      <c r="F197" s="122">
        <f t="shared" si="13"/>
        <v>16.17010441</v>
      </c>
      <c r="G197" s="123">
        <f>C197/Introduction!$I$20</f>
        <v>0.02083333333</v>
      </c>
      <c r="H197" s="192">
        <f t="shared" si="6"/>
        <v>0.006631440455</v>
      </c>
      <c r="I197" s="124">
        <f>E197/Introduction!$I$20</f>
        <v>0.5291666667</v>
      </c>
      <c r="J197" s="125">
        <f t="shared" si="7"/>
        <v>0.1684385876</v>
      </c>
      <c r="K197" s="51"/>
      <c r="L197" s="51"/>
      <c r="M197" s="51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  <c r="CS197" s="54"/>
      <c r="CT197" s="54"/>
      <c r="CU197" s="54"/>
    </row>
    <row r="198" ht="15.75" customHeight="1">
      <c r="A198" s="51"/>
      <c r="B198" s="307" t="s">
        <v>652</v>
      </c>
      <c r="C198" s="119">
        <f>IF(Standing!$C$75*0.18&gt;2,Standing!$C$75*0.18,2)</f>
        <v>2</v>
      </c>
      <c r="D198" s="218">
        <f t="shared" si="3"/>
        <v>0.6366182837</v>
      </c>
      <c r="E198" s="190">
        <f t="shared" si="12"/>
        <v>50.8</v>
      </c>
      <c r="F198" s="122">
        <f t="shared" si="13"/>
        <v>16.17010441</v>
      </c>
      <c r="G198" s="123">
        <f>C198/Introduction!$I$20</f>
        <v>0.02083333333</v>
      </c>
      <c r="H198" s="192">
        <f t="shared" si="6"/>
        <v>0.006631440455</v>
      </c>
      <c r="I198" s="124">
        <f>E198/Introduction!$I$20</f>
        <v>0.5291666667</v>
      </c>
      <c r="J198" s="125">
        <f t="shared" si="7"/>
        <v>0.1684385876</v>
      </c>
      <c r="K198" s="51"/>
      <c r="L198" s="51"/>
      <c r="M198" s="51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</row>
    <row r="199" ht="15.75" customHeight="1">
      <c r="A199" s="51"/>
      <c r="B199" s="307" t="s">
        <v>653</v>
      </c>
      <c r="C199" s="119">
        <f>Standing!$C$75*0.158</f>
        <v>1.034637358</v>
      </c>
      <c r="D199" s="218">
        <f t="shared" si="3"/>
        <v>0.3293345295</v>
      </c>
      <c r="E199" s="190">
        <f t="shared" si="12"/>
        <v>26.27978889</v>
      </c>
      <c r="F199" s="122">
        <f t="shared" si="13"/>
        <v>8.365097049</v>
      </c>
      <c r="G199" s="123">
        <f>C199/Introduction!$I$20</f>
        <v>0.01077747248</v>
      </c>
      <c r="H199" s="192">
        <f t="shared" si="6"/>
        <v>0.003430568015</v>
      </c>
      <c r="I199" s="124">
        <f>E199/Introduction!$I$20</f>
        <v>0.2737478009</v>
      </c>
      <c r="J199" s="125">
        <f t="shared" si="7"/>
        <v>0.08713642759</v>
      </c>
      <c r="K199" s="51"/>
      <c r="L199" s="51"/>
      <c r="M199" s="51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</row>
    <row r="200" ht="15.75" customHeight="1">
      <c r="A200" s="51"/>
      <c r="B200" s="308" t="s">
        <v>529</v>
      </c>
      <c r="C200" s="119">
        <f>Standing!$C$75*0.2</f>
        <v>1.309667542</v>
      </c>
      <c r="D200" s="218">
        <f t="shared" si="3"/>
        <v>0.4168791512</v>
      </c>
      <c r="E200" s="190">
        <f t="shared" si="12"/>
        <v>33.26555556</v>
      </c>
      <c r="F200" s="122">
        <f t="shared" si="13"/>
        <v>10.58873044</v>
      </c>
      <c r="G200" s="123">
        <f>C200/Introduction!$I$20</f>
        <v>0.01364237022</v>
      </c>
      <c r="H200" s="192">
        <f t="shared" si="6"/>
        <v>0.004342491159</v>
      </c>
      <c r="I200" s="124">
        <f>E200/Introduction!$I$20</f>
        <v>0.3465162037</v>
      </c>
      <c r="J200" s="125">
        <f t="shared" si="7"/>
        <v>0.1102992754</v>
      </c>
      <c r="K200" s="51"/>
      <c r="L200" s="51"/>
      <c r="M200" s="51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  <c r="CS200" s="54"/>
      <c r="CT200" s="54"/>
      <c r="CU200" s="54"/>
    </row>
    <row r="201" ht="15.75" customHeight="1">
      <c r="A201" s="51"/>
      <c r="B201" s="307" t="s">
        <v>530</v>
      </c>
      <c r="C201" s="119">
        <f>IF(Standing!$C$75*0.1&gt;1,Standing!$C$75*0.1,1)</f>
        <v>1</v>
      </c>
      <c r="D201" s="218">
        <f t="shared" si="3"/>
        <v>0.3183091418</v>
      </c>
      <c r="E201" s="190">
        <f t="shared" si="12"/>
        <v>25.4</v>
      </c>
      <c r="F201" s="122">
        <f t="shared" si="13"/>
        <v>8.085052203</v>
      </c>
      <c r="G201" s="123">
        <f>C201/Introduction!$I$20</f>
        <v>0.01041666667</v>
      </c>
      <c r="H201" s="192">
        <f t="shared" si="6"/>
        <v>0.003315720227</v>
      </c>
      <c r="I201" s="124">
        <f>E201/Introduction!$I$20</f>
        <v>0.2645833333</v>
      </c>
      <c r="J201" s="125">
        <f t="shared" si="7"/>
        <v>0.08421929378</v>
      </c>
      <c r="K201" s="51"/>
      <c r="L201" s="51"/>
      <c r="M201" s="51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</row>
    <row r="202" ht="15.75" customHeight="1">
      <c r="A202" s="51"/>
      <c r="B202" s="307" t="s">
        <v>531</v>
      </c>
      <c r="C202" s="119">
        <f>Standing!$C$75*0.2</f>
        <v>1.309667542</v>
      </c>
      <c r="D202" s="218">
        <f t="shared" si="3"/>
        <v>0.4168791512</v>
      </c>
      <c r="E202" s="190">
        <f t="shared" si="12"/>
        <v>33.26555556</v>
      </c>
      <c r="F202" s="122">
        <f t="shared" si="13"/>
        <v>10.58873044</v>
      </c>
      <c r="G202" s="123">
        <f>C202/Introduction!$I$20</f>
        <v>0.01364237022</v>
      </c>
      <c r="H202" s="192">
        <f t="shared" si="6"/>
        <v>0.004342491159</v>
      </c>
      <c r="I202" s="124">
        <f>E202/Introduction!$I$20</f>
        <v>0.3465162037</v>
      </c>
      <c r="J202" s="125">
        <f t="shared" si="7"/>
        <v>0.1102992754</v>
      </c>
      <c r="K202" s="51"/>
      <c r="L202" s="51"/>
      <c r="M202" s="51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  <c r="CS202" s="54"/>
      <c r="CT202" s="54"/>
      <c r="CU202" s="54"/>
    </row>
    <row r="203" ht="15.75" customHeight="1">
      <c r="A203" s="51"/>
      <c r="B203" s="309" t="s">
        <v>532</v>
      </c>
      <c r="C203" s="119">
        <f>AJ136</f>
        <v>1.637084427</v>
      </c>
      <c r="D203" s="218">
        <f t="shared" si="3"/>
        <v>0.5210989391</v>
      </c>
      <c r="E203" s="190">
        <f t="shared" si="12"/>
        <v>41.58194444</v>
      </c>
      <c r="F203" s="122">
        <f t="shared" si="13"/>
        <v>13.23591305</v>
      </c>
      <c r="G203" s="123">
        <f>C203/Introduction!$I$20</f>
        <v>0.01705296278</v>
      </c>
      <c r="H203" s="192">
        <f t="shared" si="6"/>
        <v>0.005428113949</v>
      </c>
      <c r="I203" s="124">
        <f>E203/Introduction!$I$20</f>
        <v>0.4331452546</v>
      </c>
      <c r="J203" s="125">
        <f t="shared" si="7"/>
        <v>0.1378740943</v>
      </c>
      <c r="K203" s="51"/>
      <c r="L203" s="51"/>
      <c r="M203" s="51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</row>
    <row r="204" ht="15.75" customHeight="1">
      <c r="A204" s="51"/>
      <c r="B204" s="310" t="s">
        <v>533</v>
      </c>
      <c r="C204" s="119">
        <f>AI136</f>
        <v>1.309667542</v>
      </c>
      <c r="D204" s="218">
        <f t="shared" si="3"/>
        <v>0.4168791512</v>
      </c>
      <c r="E204" s="190">
        <f t="shared" si="12"/>
        <v>33.26555556</v>
      </c>
      <c r="F204" s="122">
        <f t="shared" si="13"/>
        <v>10.58873044</v>
      </c>
      <c r="G204" s="123">
        <f>C204/Introduction!$I$20</f>
        <v>0.01364237022</v>
      </c>
      <c r="H204" s="192">
        <f t="shared" si="6"/>
        <v>0.004342491159</v>
      </c>
      <c r="I204" s="124">
        <f>E204/Introduction!$I$20</f>
        <v>0.3465162037</v>
      </c>
      <c r="J204" s="125">
        <f t="shared" si="7"/>
        <v>0.1102992754</v>
      </c>
      <c r="K204" s="51"/>
      <c r="L204" s="51"/>
      <c r="M204" s="51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</row>
    <row r="205" ht="15.75" customHeight="1">
      <c r="A205" s="51"/>
      <c r="B205" s="310" t="s">
        <v>534</v>
      </c>
      <c r="C205" s="119">
        <f>Standing!C81*0.36</f>
        <v>1.178700787</v>
      </c>
      <c r="D205" s="218">
        <f t="shared" si="3"/>
        <v>0.3751912361</v>
      </c>
      <c r="E205" s="190">
        <f t="shared" si="12"/>
        <v>29.939</v>
      </c>
      <c r="F205" s="122">
        <f t="shared" si="13"/>
        <v>9.529857397</v>
      </c>
      <c r="G205" s="123">
        <f>C205/Introduction!$I$20</f>
        <v>0.0122781332</v>
      </c>
      <c r="H205" s="192">
        <f t="shared" si="6"/>
        <v>0.003908242043</v>
      </c>
      <c r="I205" s="124">
        <f>E205/Introduction!$I$20</f>
        <v>0.3118645833</v>
      </c>
      <c r="J205" s="125">
        <f t="shared" si="7"/>
        <v>0.09926934789</v>
      </c>
      <c r="K205" s="51"/>
      <c r="L205" s="51"/>
      <c r="M205" s="51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</row>
    <row r="206" ht="15.75" customHeight="1">
      <c r="A206" s="51"/>
      <c r="B206" s="308" t="s">
        <v>654</v>
      </c>
      <c r="C206" s="119">
        <f>AK136</f>
        <v>2.619335083</v>
      </c>
      <c r="D206" s="218">
        <f t="shared" si="3"/>
        <v>0.8337583025</v>
      </c>
      <c r="E206" s="190">
        <f t="shared" si="12"/>
        <v>66.53111111</v>
      </c>
      <c r="F206" s="122">
        <f t="shared" si="13"/>
        <v>21.17746088</v>
      </c>
      <c r="G206" s="123">
        <f>C206/Introduction!$I$20</f>
        <v>0.02728474045</v>
      </c>
      <c r="H206" s="192">
        <f t="shared" si="6"/>
        <v>0.008684982318</v>
      </c>
      <c r="I206" s="124">
        <f>E206/Introduction!$I$20</f>
        <v>0.6930324074</v>
      </c>
      <c r="J206" s="125">
        <f t="shared" si="7"/>
        <v>0.2205985509</v>
      </c>
      <c r="K206" s="51"/>
      <c r="L206" s="51"/>
      <c r="M206" s="51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</row>
    <row r="207" ht="15.75" customHeight="1">
      <c r="A207" s="51"/>
      <c r="B207" s="307" t="s">
        <v>655</v>
      </c>
      <c r="C207" s="119">
        <f>C206*0.85</f>
        <v>2.226434821</v>
      </c>
      <c r="D207" s="218">
        <f t="shared" si="3"/>
        <v>0.7086945571</v>
      </c>
      <c r="E207" s="190">
        <f t="shared" si="12"/>
        <v>56.55144444</v>
      </c>
      <c r="F207" s="122">
        <f t="shared" si="13"/>
        <v>18.00084175</v>
      </c>
      <c r="G207" s="123">
        <f>C207/Introduction!$I$20</f>
        <v>0.02319202938</v>
      </c>
      <c r="H207" s="192">
        <f t="shared" si="6"/>
        <v>0.00738223497</v>
      </c>
      <c r="I207" s="124">
        <f>E207/Introduction!$I$20</f>
        <v>0.5890775463</v>
      </c>
      <c r="J207" s="125">
        <f t="shared" si="7"/>
        <v>0.1875087682</v>
      </c>
      <c r="K207" s="51"/>
      <c r="L207" s="51"/>
      <c r="M207" s="51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</row>
    <row r="208" ht="15.75" customHeight="1">
      <c r="A208" s="51"/>
      <c r="B208" s="307" t="s">
        <v>656</v>
      </c>
      <c r="C208" s="119">
        <f>IF(AL136&gt;2,AL136,2)</f>
        <v>2</v>
      </c>
      <c r="D208" s="218">
        <f t="shared" si="3"/>
        <v>0.6366182837</v>
      </c>
      <c r="E208" s="190">
        <f t="shared" si="12"/>
        <v>50.8</v>
      </c>
      <c r="F208" s="122">
        <f t="shared" si="13"/>
        <v>16.17010441</v>
      </c>
      <c r="G208" s="123">
        <f>C208/Introduction!$I$20</f>
        <v>0.02083333333</v>
      </c>
      <c r="H208" s="192">
        <f t="shared" si="6"/>
        <v>0.006631440455</v>
      </c>
      <c r="I208" s="124">
        <f>E208/Introduction!$I$20</f>
        <v>0.5291666667</v>
      </c>
      <c r="J208" s="125">
        <f t="shared" si="7"/>
        <v>0.1684385876</v>
      </c>
      <c r="K208" s="51"/>
      <c r="L208" s="51"/>
      <c r="M208" s="51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  <c r="BV208" s="54"/>
      <c r="BW208" s="54"/>
      <c r="BX208" s="54"/>
      <c r="BY208" s="54"/>
      <c r="BZ208" s="54"/>
      <c r="CA208" s="54"/>
      <c r="CB208" s="54"/>
      <c r="CC208" s="54"/>
      <c r="CD208" s="54"/>
      <c r="CE208" s="54"/>
      <c r="CF208" s="54"/>
      <c r="CG208" s="54"/>
      <c r="CH208" s="54"/>
      <c r="CI208" s="54"/>
      <c r="CJ208" s="54"/>
      <c r="CK208" s="54"/>
      <c r="CL208" s="54"/>
      <c r="CM208" s="54"/>
      <c r="CN208" s="54"/>
      <c r="CO208" s="54"/>
      <c r="CP208" s="54"/>
      <c r="CQ208" s="54"/>
      <c r="CR208" s="54"/>
      <c r="CS208" s="54"/>
      <c r="CT208" s="54"/>
      <c r="CU208" s="54"/>
    </row>
    <row r="209" ht="15.75" customHeight="1">
      <c r="A209" s="51"/>
      <c r="B209" s="307" t="s">
        <v>657</v>
      </c>
      <c r="C209" s="119">
        <f>AM136</f>
        <v>1.473375984</v>
      </c>
      <c r="D209" s="218">
        <f t="shared" si="3"/>
        <v>0.4689890452</v>
      </c>
      <c r="E209" s="190">
        <f t="shared" si="12"/>
        <v>37.42375</v>
      </c>
      <c r="F209" s="122">
        <f t="shared" si="13"/>
        <v>11.91232175</v>
      </c>
      <c r="G209" s="123">
        <f>C209/Introduction!$I$20</f>
        <v>0.0153476665</v>
      </c>
      <c r="H209" s="192">
        <f t="shared" si="6"/>
        <v>0.004885302554</v>
      </c>
      <c r="I209" s="124">
        <f>E209/Introduction!$I$20</f>
        <v>0.3898307292</v>
      </c>
      <c r="J209" s="125">
        <f t="shared" si="7"/>
        <v>0.1240866849</v>
      </c>
      <c r="K209" s="51"/>
      <c r="L209" s="51"/>
      <c r="M209" s="51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</row>
    <row r="210" ht="15.75" customHeight="1">
      <c r="A210" s="51"/>
      <c r="B210" s="307" t="s">
        <v>658</v>
      </c>
      <c r="C210" s="119">
        <f>Standing!$C$81*0.6</f>
        <v>1.964501312</v>
      </c>
      <c r="D210" s="218">
        <f t="shared" si="3"/>
        <v>0.6253187269</v>
      </c>
      <c r="E210" s="190">
        <f t="shared" si="12"/>
        <v>49.89833333</v>
      </c>
      <c r="F210" s="122">
        <f t="shared" si="13"/>
        <v>15.88309566</v>
      </c>
      <c r="G210" s="123">
        <f>C210/Introduction!$I$20</f>
        <v>0.02046355534</v>
      </c>
      <c r="H210" s="192">
        <f t="shared" si="6"/>
        <v>0.006513736738</v>
      </c>
      <c r="I210" s="124">
        <f>E210/Introduction!$I$20</f>
        <v>0.5197743056</v>
      </c>
      <c r="J210" s="125">
        <f t="shared" si="7"/>
        <v>0.1654489132</v>
      </c>
      <c r="K210" s="51"/>
      <c r="L210" s="51"/>
      <c r="M210" s="51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</row>
    <row r="211" ht="15.75" customHeight="1">
      <c r="A211" s="51"/>
      <c r="B211" s="307" t="s">
        <v>659</v>
      </c>
      <c r="C211" s="119">
        <f>C208</f>
        <v>2</v>
      </c>
      <c r="D211" s="218">
        <f t="shared" si="3"/>
        <v>0.6366182837</v>
      </c>
      <c r="E211" s="190">
        <f t="shared" si="12"/>
        <v>50.8</v>
      </c>
      <c r="F211" s="122">
        <f t="shared" si="13"/>
        <v>16.17010441</v>
      </c>
      <c r="G211" s="123">
        <f>C211/Introduction!$I$20</f>
        <v>0.02083333333</v>
      </c>
      <c r="H211" s="192">
        <f t="shared" si="6"/>
        <v>0.006631440455</v>
      </c>
      <c r="I211" s="124">
        <f>E211/Introduction!$I$20</f>
        <v>0.5291666667</v>
      </c>
      <c r="J211" s="125">
        <f t="shared" si="7"/>
        <v>0.1684385876</v>
      </c>
      <c r="K211" s="51"/>
      <c r="L211" s="51"/>
      <c r="M211" s="51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</row>
    <row r="212" ht="15.75" customHeight="1">
      <c r="A212" s="51"/>
      <c r="B212" s="307" t="s">
        <v>660</v>
      </c>
      <c r="C212" s="119">
        <f>AN136</f>
        <v>1.80079287</v>
      </c>
      <c r="D212" s="218">
        <f t="shared" si="3"/>
        <v>0.573208833</v>
      </c>
      <c r="E212" s="190">
        <f t="shared" si="12"/>
        <v>45.74013889</v>
      </c>
      <c r="F212" s="122">
        <f t="shared" si="13"/>
        <v>14.55950436</v>
      </c>
      <c r="G212" s="123">
        <f>C212/Introduction!$I$20</f>
        <v>0.01875825906</v>
      </c>
      <c r="H212" s="192">
        <f t="shared" si="6"/>
        <v>0.005970925343</v>
      </c>
      <c r="I212" s="124">
        <f>E212/Introduction!$I$20</f>
        <v>0.4764597801</v>
      </c>
      <c r="J212" s="125">
        <f t="shared" si="7"/>
        <v>0.1516615037</v>
      </c>
      <c r="K212" s="51"/>
      <c r="L212" s="51"/>
      <c r="M212" s="51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</row>
    <row r="213" ht="15.75" customHeight="1">
      <c r="A213" s="51"/>
      <c r="B213" s="307" t="s">
        <v>661</v>
      </c>
      <c r="C213" s="119">
        <f>IF(AO136&gt;2,AO136,2)</f>
        <v>2</v>
      </c>
      <c r="D213" s="218">
        <f t="shared" si="3"/>
        <v>0.6366182837</v>
      </c>
      <c r="E213" s="190">
        <f t="shared" si="12"/>
        <v>50.8</v>
      </c>
      <c r="F213" s="122">
        <f t="shared" si="13"/>
        <v>16.17010441</v>
      </c>
      <c r="G213" s="123">
        <f>C213/Introduction!$I$20</f>
        <v>0.02083333333</v>
      </c>
      <c r="H213" s="192">
        <f t="shared" si="6"/>
        <v>0.006631440455</v>
      </c>
      <c r="I213" s="124">
        <f>E213/Introduction!$I$20</f>
        <v>0.5291666667</v>
      </c>
      <c r="J213" s="125">
        <f t="shared" si="7"/>
        <v>0.1684385876</v>
      </c>
      <c r="K213" s="51"/>
      <c r="L213" s="51"/>
      <c r="M213" s="51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</row>
    <row r="214" ht="15.75" customHeight="1">
      <c r="A214" s="51"/>
      <c r="B214" s="307" t="s">
        <v>662</v>
      </c>
      <c r="C214" s="119">
        <f>Standing!$C$81*0.33</f>
        <v>1.080475722</v>
      </c>
      <c r="D214" s="218">
        <f t="shared" si="3"/>
        <v>0.3439252998</v>
      </c>
      <c r="E214" s="190">
        <f t="shared" si="12"/>
        <v>27.44408333</v>
      </c>
      <c r="F214" s="122">
        <f t="shared" si="13"/>
        <v>8.735702614</v>
      </c>
      <c r="G214" s="123">
        <f>C214/Introduction!$I$20</f>
        <v>0.01125495544</v>
      </c>
      <c r="H214" s="192">
        <f t="shared" si="6"/>
        <v>0.003582555206</v>
      </c>
      <c r="I214" s="124">
        <f>E214/Introduction!$I$20</f>
        <v>0.2858758681</v>
      </c>
      <c r="J214" s="125">
        <f t="shared" si="7"/>
        <v>0.09099690223</v>
      </c>
      <c r="K214" s="51"/>
      <c r="L214" s="51"/>
      <c r="M214" s="51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</row>
    <row r="215" ht="15.75" customHeight="1">
      <c r="A215" s="51"/>
      <c r="B215" s="307" t="s">
        <v>663</v>
      </c>
      <c r="C215" s="119">
        <f>Standing!$C$81*0.43</f>
        <v>1.407892607</v>
      </c>
      <c r="D215" s="218">
        <f t="shared" si="3"/>
        <v>0.4481450876</v>
      </c>
      <c r="E215" s="190">
        <f t="shared" si="12"/>
        <v>35.76047222</v>
      </c>
      <c r="F215" s="122">
        <f t="shared" si="13"/>
        <v>11.38288522</v>
      </c>
      <c r="G215" s="123">
        <f>C215/Introduction!$I$20</f>
        <v>0.01466554799</v>
      </c>
      <c r="H215" s="192">
        <f t="shared" si="6"/>
        <v>0.004668177996</v>
      </c>
      <c r="I215" s="124">
        <f>E215/Introduction!$I$20</f>
        <v>0.372504919</v>
      </c>
      <c r="J215" s="125">
        <f t="shared" si="7"/>
        <v>0.1185717211</v>
      </c>
      <c r="K215" s="51"/>
      <c r="L215" s="51"/>
      <c r="M215" s="51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</row>
    <row r="216" ht="15.75" customHeight="1">
      <c r="A216" s="51"/>
      <c r="B216" s="307" t="s">
        <v>664</v>
      </c>
      <c r="C216" s="119">
        <f>Standing!$C$81*0.45</f>
        <v>1.473375984</v>
      </c>
      <c r="D216" s="218">
        <f t="shared" si="3"/>
        <v>0.4689890452</v>
      </c>
      <c r="E216" s="190">
        <f t="shared" si="12"/>
        <v>37.42375</v>
      </c>
      <c r="F216" s="122">
        <f t="shared" si="13"/>
        <v>11.91232175</v>
      </c>
      <c r="G216" s="123">
        <f>C216/Introduction!$I$20</f>
        <v>0.0153476665</v>
      </c>
      <c r="H216" s="192">
        <f t="shared" si="6"/>
        <v>0.004885302554</v>
      </c>
      <c r="I216" s="124">
        <f>E216/Introduction!$I$20</f>
        <v>0.3898307292</v>
      </c>
      <c r="J216" s="125">
        <f t="shared" si="7"/>
        <v>0.1240866849</v>
      </c>
      <c r="K216" s="51"/>
      <c r="L216" s="51"/>
      <c r="M216" s="51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</row>
    <row r="217" ht="15.75" customHeight="1">
      <c r="A217" s="51"/>
      <c r="B217" s="307" t="s">
        <v>665</v>
      </c>
      <c r="C217" s="119">
        <f>Standing!$C$81*0.5</f>
        <v>1.637084427</v>
      </c>
      <c r="D217" s="218">
        <f t="shared" si="3"/>
        <v>0.5210989391</v>
      </c>
      <c r="E217" s="190">
        <f t="shared" si="12"/>
        <v>41.58194444</v>
      </c>
      <c r="F217" s="122">
        <f t="shared" si="13"/>
        <v>13.23591305</v>
      </c>
      <c r="G217" s="123">
        <f>C217/Introduction!$I$20</f>
        <v>0.01705296278</v>
      </c>
      <c r="H217" s="192">
        <f t="shared" si="6"/>
        <v>0.005428113949</v>
      </c>
      <c r="I217" s="124">
        <f>E217/Introduction!$I$20</f>
        <v>0.4331452546</v>
      </c>
      <c r="J217" s="125">
        <f t="shared" si="7"/>
        <v>0.1378740943</v>
      </c>
      <c r="K217" s="51"/>
      <c r="L217" s="51"/>
      <c r="M217" s="51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</row>
    <row r="218" ht="15.75" customHeight="1">
      <c r="A218" s="51"/>
      <c r="B218" s="307" t="s">
        <v>666</v>
      </c>
      <c r="C218" s="119">
        <f>Standing!$C$81*0.3</f>
        <v>0.9822506562</v>
      </c>
      <c r="D218" s="218">
        <f t="shared" si="3"/>
        <v>0.3126593634</v>
      </c>
      <c r="E218" s="190">
        <f t="shared" si="12"/>
        <v>24.94916667</v>
      </c>
      <c r="F218" s="122">
        <f t="shared" si="13"/>
        <v>7.941547831</v>
      </c>
      <c r="G218" s="123">
        <f>C218/Introduction!$I$20</f>
        <v>0.01023177767</v>
      </c>
      <c r="H218" s="192">
        <f t="shared" si="6"/>
        <v>0.003256868369</v>
      </c>
      <c r="I218" s="124">
        <f>E218/Introduction!$I$20</f>
        <v>0.2598871528</v>
      </c>
      <c r="J218" s="125">
        <f t="shared" si="7"/>
        <v>0.08272445658</v>
      </c>
      <c r="K218" s="51"/>
      <c r="L218" s="51"/>
      <c r="M218" s="51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</row>
    <row r="219" ht="15.75" customHeight="1">
      <c r="A219" s="51"/>
      <c r="B219" s="307" t="s">
        <v>667</v>
      </c>
      <c r="C219" s="119">
        <f>Standing!$C$81*0.45</f>
        <v>1.473375984</v>
      </c>
      <c r="D219" s="218">
        <f t="shared" si="3"/>
        <v>0.4689890452</v>
      </c>
      <c r="E219" s="190">
        <f t="shared" si="12"/>
        <v>37.42375</v>
      </c>
      <c r="F219" s="122">
        <f t="shared" si="13"/>
        <v>11.91232175</v>
      </c>
      <c r="G219" s="123">
        <f>C219/Introduction!$I$20</f>
        <v>0.0153476665</v>
      </c>
      <c r="H219" s="192">
        <f t="shared" si="6"/>
        <v>0.004885302554</v>
      </c>
      <c r="I219" s="124">
        <f>E219/Introduction!$I$20</f>
        <v>0.3898307292</v>
      </c>
      <c r="J219" s="125">
        <f t="shared" si="7"/>
        <v>0.1240866849</v>
      </c>
      <c r="K219" s="51"/>
      <c r="L219" s="51"/>
      <c r="M219" s="51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</row>
    <row r="220" ht="15.75" customHeight="1">
      <c r="A220" s="51"/>
      <c r="B220" s="307" t="s">
        <v>668</v>
      </c>
      <c r="C220" s="119">
        <f>AP136</f>
        <v>2.946751968</v>
      </c>
      <c r="D220" s="218">
        <f t="shared" si="3"/>
        <v>0.9379780903</v>
      </c>
      <c r="E220" s="190">
        <f t="shared" si="12"/>
        <v>74.8475</v>
      </c>
      <c r="F220" s="122">
        <f t="shared" si="13"/>
        <v>23.82464349</v>
      </c>
      <c r="G220" s="123">
        <f>C220/Introduction!$I$20</f>
        <v>0.03069533301</v>
      </c>
      <c r="H220" s="192">
        <f t="shared" si="6"/>
        <v>0.009770605107</v>
      </c>
      <c r="I220" s="124">
        <f>E220/Introduction!$I$20</f>
        <v>0.7796614583</v>
      </c>
      <c r="J220" s="125">
        <f t="shared" si="7"/>
        <v>0.2481733697</v>
      </c>
      <c r="K220" s="51"/>
      <c r="L220" s="51"/>
      <c r="M220" s="51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</row>
    <row r="221" ht="15.75" customHeight="1">
      <c r="A221" s="51"/>
      <c r="B221" s="307" t="s">
        <v>669</v>
      </c>
      <c r="C221" s="119">
        <f>IF(Standing!$C$81*0.55&gt;2,Standing!$C$81*0.55,2)</f>
        <v>2</v>
      </c>
      <c r="D221" s="218">
        <f t="shared" si="3"/>
        <v>0.6366182837</v>
      </c>
      <c r="E221" s="190">
        <f t="shared" si="12"/>
        <v>50.8</v>
      </c>
      <c r="F221" s="122">
        <f t="shared" si="13"/>
        <v>16.17010441</v>
      </c>
      <c r="G221" s="123">
        <f>C221/Introduction!$I$20</f>
        <v>0.02083333333</v>
      </c>
      <c r="H221" s="192">
        <f t="shared" si="6"/>
        <v>0.006631440455</v>
      </c>
      <c r="I221" s="124">
        <f>E221/Introduction!$I$20</f>
        <v>0.5291666667</v>
      </c>
      <c r="J221" s="125">
        <f t="shared" si="7"/>
        <v>0.1684385876</v>
      </c>
      <c r="K221" s="51"/>
      <c r="L221" s="51"/>
      <c r="M221" s="51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</row>
    <row r="222" ht="15.75" customHeight="1">
      <c r="A222" s="51"/>
      <c r="B222" s="307" t="s">
        <v>670</v>
      </c>
      <c r="C222" s="119">
        <f>IF(Standing!$C$81*0.22&gt;2,Standing!$C$81*0.22,2)</f>
        <v>2</v>
      </c>
      <c r="D222" s="218">
        <f t="shared" si="3"/>
        <v>0.6366182837</v>
      </c>
      <c r="E222" s="190">
        <f t="shared" si="12"/>
        <v>50.8</v>
      </c>
      <c r="F222" s="122">
        <f t="shared" si="13"/>
        <v>16.17010441</v>
      </c>
      <c r="G222" s="123">
        <f>C222/Introduction!$I$20</f>
        <v>0.02083333333</v>
      </c>
      <c r="H222" s="192">
        <f t="shared" si="6"/>
        <v>0.006631440455</v>
      </c>
      <c r="I222" s="124">
        <f>E222/Introduction!$I$20</f>
        <v>0.5291666667</v>
      </c>
      <c r="J222" s="125">
        <f t="shared" si="7"/>
        <v>0.1684385876</v>
      </c>
      <c r="K222" s="51"/>
      <c r="L222" s="51"/>
      <c r="M222" s="51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</row>
    <row r="223" ht="15.75" customHeight="1">
      <c r="A223" s="51"/>
      <c r="B223" s="307" t="s">
        <v>671</v>
      </c>
      <c r="C223" s="119">
        <f>IF(Standing!$C$81*0.4&gt;2,Standing!$C$81*0.4,2)</f>
        <v>2</v>
      </c>
      <c r="D223" s="218">
        <f t="shared" si="3"/>
        <v>0.6366182837</v>
      </c>
      <c r="E223" s="190">
        <f t="shared" si="12"/>
        <v>50.8</v>
      </c>
      <c r="F223" s="122">
        <f t="shared" si="13"/>
        <v>16.17010441</v>
      </c>
      <c r="G223" s="123">
        <f>C223/Introduction!$I$20</f>
        <v>0.02083333333</v>
      </c>
      <c r="H223" s="192">
        <f t="shared" si="6"/>
        <v>0.006631440455</v>
      </c>
      <c r="I223" s="124">
        <f>E223/Introduction!$I$20</f>
        <v>0.5291666667</v>
      </c>
      <c r="J223" s="125">
        <f t="shared" si="7"/>
        <v>0.1684385876</v>
      </c>
      <c r="K223" s="51"/>
      <c r="L223" s="51"/>
      <c r="M223" s="51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</row>
    <row r="224" ht="15.75" customHeight="1">
      <c r="A224" s="51"/>
      <c r="B224" s="307" t="s">
        <v>672</v>
      </c>
      <c r="C224" s="119">
        <f>IF(Standing!$C$81*0.165&gt;1,Standing!$C$81*0.165,1)</f>
        <v>1</v>
      </c>
      <c r="D224" s="218">
        <f t="shared" si="3"/>
        <v>0.3183091418</v>
      </c>
      <c r="E224" s="190">
        <f t="shared" si="12"/>
        <v>25.4</v>
      </c>
      <c r="F224" s="122">
        <f t="shared" si="13"/>
        <v>8.085052203</v>
      </c>
      <c r="G224" s="123">
        <f>C224/Introduction!$I$20</f>
        <v>0.01041666667</v>
      </c>
      <c r="H224" s="192">
        <f t="shared" si="6"/>
        <v>0.003315720227</v>
      </c>
      <c r="I224" s="124">
        <f>E224/Introduction!$I$20</f>
        <v>0.2645833333</v>
      </c>
      <c r="J224" s="125">
        <f t="shared" si="7"/>
        <v>0.08421929378</v>
      </c>
      <c r="K224" s="51"/>
      <c r="L224" s="51"/>
      <c r="M224" s="51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</row>
    <row r="225" ht="15.75" customHeight="1">
      <c r="A225" s="51"/>
      <c r="B225" s="309" t="s">
        <v>554</v>
      </c>
      <c r="C225" s="119">
        <f>Standing!$C$81*0.36</f>
        <v>1.178700787</v>
      </c>
      <c r="D225" s="218">
        <f t="shared" si="3"/>
        <v>0.3751912361</v>
      </c>
      <c r="E225" s="190">
        <f t="shared" si="12"/>
        <v>29.939</v>
      </c>
      <c r="F225" s="122">
        <f t="shared" si="13"/>
        <v>9.529857397</v>
      </c>
      <c r="G225" s="123">
        <f>C225/Introduction!$I$20</f>
        <v>0.0122781332</v>
      </c>
      <c r="H225" s="192">
        <f t="shared" si="6"/>
        <v>0.003908242043</v>
      </c>
      <c r="I225" s="124">
        <f>E225/Introduction!$I$20</f>
        <v>0.3118645833</v>
      </c>
      <c r="J225" s="125">
        <f t="shared" si="7"/>
        <v>0.09926934789</v>
      </c>
      <c r="K225" s="51"/>
      <c r="L225" s="51"/>
      <c r="M225" s="51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</row>
    <row r="226" ht="15.75" customHeight="1">
      <c r="A226" s="51"/>
      <c r="B226" s="310" t="s">
        <v>555</v>
      </c>
      <c r="C226" s="119">
        <f>IF(Standing!$C$81*0.237&gt;1,Standing!$C$81*0.237,1)</f>
        <v>1</v>
      </c>
      <c r="D226" s="218">
        <f t="shared" si="3"/>
        <v>0.3183091418</v>
      </c>
      <c r="E226" s="190">
        <f t="shared" si="12"/>
        <v>25.4</v>
      </c>
      <c r="F226" s="122">
        <f t="shared" si="13"/>
        <v>8.085052203</v>
      </c>
      <c r="G226" s="123">
        <f>C226/Introduction!$I$20</f>
        <v>0.01041666667</v>
      </c>
      <c r="H226" s="192">
        <f t="shared" si="6"/>
        <v>0.003315720227</v>
      </c>
      <c r="I226" s="124">
        <f>E226/Introduction!$I$20</f>
        <v>0.2645833333</v>
      </c>
      <c r="J226" s="125">
        <f t="shared" si="7"/>
        <v>0.08421929378</v>
      </c>
      <c r="K226" s="51"/>
      <c r="L226" s="51"/>
      <c r="M226" s="51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</row>
    <row r="227" ht="15.75" customHeight="1">
      <c r="A227" s="51"/>
      <c r="B227" s="310" t="s">
        <v>556</v>
      </c>
      <c r="C227" s="119">
        <f>IF(Standing!$C$81*0.237&gt;1,Standing!$C$81*0.237,1)</f>
        <v>1</v>
      </c>
      <c r="D227" s="218">
        <f t="shared" si="3"/>
        <v>0.3183091418</v>
      </c>
      <c r="E227" s="190">
        <f t="shared" si="12"/>
        <v>25.4</v>
      </c>
      <c r="F227" s="122">
        <f t="shared" si="13"/>
        <v>8.085052203</v>
      </c>
      <c r="G227" s="123">
        <f>C227/Introduction!$I$20</f>
        <v>0.01041666667</v>
      </c>
      <c r="H227" s="192">
        <f t="shared" si="6"/>
        <v>0.003315720227</v>
      </c>
      <c r="I227" s="124">
        <f>E227/Introduction!$I$20</f>
        <v>0.2645833333</v>
      </c>
      <c r="J227" s="125">
        <f t="shared" si="7"/>
        <v>0.08421929378</v>
      </c>
      <c r="K227" s="51"/>
      <c r="L227" s="51"/>
      <c r="M227" s="51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</row>
    <row r="228" ht="15.75" customHeight="1">
      <c r="A228" s="51"/>
      <c r="B228" s="308" t="s">
        <v>673</v>
      </c>
      <c r="C228" s="119">
        <f>AQ136</f>
        <v>1.8</v>
      </c>
      <c r="D228" s="218">
        <f t="shared" si="3"/>
        <v>0.5729564553</v>
      </c>
      <c r="E228" s="190">
        <f t="shared" si="12"/>
        <v>45.72</v>
      </c>
      <c r="F228" s="122">
        <f t="shared" si="13"/>
        <v>14.55309396</v>
      </c>
      <c r="G228" s="123">
        <f>C228/Introduction!$I$20</f>
        <v>0.01875</v>
      </c>
      <c r="H228" s="192">
        <f t="shared" si="6"/>
        <v>0.005968296409</v>
      </c>
      <c r="I228" s="124">
        <f>E228/Introduction!$I$20</f>
        <v>0.47625</v>
      </c>
      <c r="J228" s="125">
        <f t="shared" si="7"/>
        <v>0.1515947288</v>
      </c>
      <c r="K228" s="51"/>
      <c r="L228" s="51"/>
      <c r="M228" s="51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</row>
    <row r="229" ht="15.75" customHeight="1">
      <c r="A229" s="51"/>
      <c r="B229" s="307" t="s">
        <v>674</v>
      </c>
      <c r="C229" s="119">
        <f>IF(AR136&gt;1.5,AR136,1.5)</f>
        <v>1.5</v>
      </c>
      <c r="D229" s="218">
        <f t="shared" si="3"/>
        <v>0.4774637128</v>
      </c>
      <c r="E229" s="190">
        <f t="shared" si="12"/>
        <v>38.1</v>
      </c>
      <c r="F229" s="122">
        <f t="shared" si="13"/>
        <v>12.1275783</v>
      </c>
      <c r="G229" s="123">
        <f>C229/Introduction!$I$20</f>
        <v>0.015625</v>
      </c>
      <c r="H229" s="192">
        <f t="shared" si="6"/>
        <v>0.004973580341</v>
      </c>
      <c r="I229" s="124">
        <f>E229/Introduction!$I$20</f>
        <v>0.396875</v>
      </c>
      <c r="J229" s="125">
        <f t="shared" si="7"/>
        <v>0.1263289407</v>
      </c>
      <c r="K229" s="51"/>
      <c r="L229" s="51"/>
      <c r="M229" s="51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</row>
    <row r="230" ht="15.75" customHeight="1">
      <c r="A230" s="51"/>
      <c r="B230" s="307" t="s">
        <v>675</v>
      </c>
      <c r="C230" s="119">
        <f>AS136</f>
        <v>1.1</v>
      </c>
      <c r="D230" s="218">
        <f t="shared" si="3"/>
        <v>0.350140056</v>
      </c>
      <c r="E230" s="190">
        <f t="shared" si="12"/>
        <v>27.94</v>
      </c>
      <c r="F230" s="122">
        <f t="shared" si="13"/>
        <v>8.893557423</v>
      </c>
      <c r="G230" s="123">
        <f>C230/Introduction!$I$20</f>
        <v>0.01145833333</v>
      </c>
      <c r="H230" s="192">
        <f t="shared" si="6"/>
        <v>0.00364729225</v>
      </c>
      <c r="I230" s="124">
        <f>E230/Introduction!$I$20</f>
        <v>0.2910416667</v>
      </c>
      <c r="J230" s="125">
        <f t="shared" si="7"/>
        <v>0.09264122316</v>
      </c>
      <c r="K230" s="51"/>
      <c r="L230" s="51"/>
      <c r="M230" s="51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</row>
    <row r="231" ht="15.75" customHeight="1">
      <c r="A231" s="51"/>
      <c r="B231" s="307" t="s">
        <v>676</v>
      </c>
      <c r="C231" s="119">
        <f>Standing!C85*0.55</f>
        <v>1.1</v>
      </c>
      <c r="D231" s="218">
        <f t="shared" si="3"/>
        <v>0.350140056</v>
      </c>
      <c r="E231" s="190">
        <f t="shared" si="12"/>
        <v>27.94</v>
      </c>
      <c r="F231" s="122">
        <f t="shared" si="13"/>
        <v>8.893557423</v>
      </c>
      <c r="G231" s="123">
        <f>C231/Introduction!$I$20</f>
        <v>0.01145833333</v>
      </c>
      <c r="H231" s="192">
        <f t="shared" si="6"/>
        <v>0.00364729225</v>
      </c>
      <c r="I231" s="124">
        <f>E231/Introduction!$I$20</f>
        <v>0.2910416667</v>
      </c>
      <c r="J231" s="125">
        <f t="shared" si="7"/>
        <v>0.09264122316</v>
      </c>
      <c r="K231" s="51"/>
      <c r="L231" s="51"/>
      <c r="M231" s="51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</row>
    <row r="232" ht="15.75" customHeight="1">
      <c r="A232" s="51"/>
      <c r="B232" s="307" t="s">
        <v>677</v>
      </c>
      <c r="C232" s="119">
        <f>IF(AT136&gt;1.5,AT136,1.5)</f>
        <v>1.5</v>
      </c>
      <c r="D232" s="218">
        <f t="shared" si="3"/>
        <v>0.4774637128</v>
      </c>
      <c r="E232" s="190">
        <f t="shared" si="12"/>
        <v>38.1</v>
      </c>
      <c r="F232" s="122">
        <f t="shared" si="13"/>
        <v>12.1275783</v>
      </c>
      <c r="G232" s="123">
        <f>C232/Introduction!$I$20</f>
        <v>0.015625</v>
      </c>
      <c r="H232" s="192">
        <f t="shared" si="6"/>
        <v>0.004973580341</v>
      </c>
      <c r="I232" s="124">
        <f>E232/Introduction!$I$20</f>
        <v>0.396875</v>
      </c>
      <c r="J232" s="125">
        <f t="shared" si="7"/>
        <v>0.1263289407</v>
      </c>
      <c r="K232" s="51"/>
      <c r="L232" s="51"/>
      <c r="M232" s="51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</row>
    <row r="233" ht="15.75" customHeight="1">
      <c r="A233" s="51"/>
      <c r="B233" s="307" t="s">
        <v>678</v>
      </c>
      <c r="C233" s="119">
        <f>IF(Standing!$C$85*0.66&gt;1.5,Standing!$C$85*0.66,1.5)</f>
        <v>1.5</v>
      </c>
      <c r="D233" s="218">
        <f t="shared" si="3"/>
        <v>0.4774637128</v>
      </c>
      <c r="E233" s="190">
        <f t="shared" si="12"/>
        <v>38.1</v>
      </c>
      <c r="F233" s="122">
        <f t="shared" si="13"/>
        <v>12.1275783</v>
      </c>
      <c r="G233" s="123">
        <f>C233/Introduction!$I$20</f>
        <v>0.015625</v>
      </c>
      <c r="H233" s="192">
        <f t="shared" si="6"/>
        <v>0.004973580341</v>
      </c>
      <c r="I233" s="124">
        <f>E233/Introduction!$I$20</f>
        <v>0.396875</v>
      </c>
      <c r="J233" s="125">
        <f t="shared" si="7"/>
        <v>0.1263289407</v>
      </c>
      <c r="K233" s="51"/>
      <c r="L233" s="51"/>
      <c r="M233" s="51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</row>
    <row r="234" ht="15.75" customHeight="1">
      <c r="A234" s="51"/>
      <c r="B234" s="307" t="s">
        <v>679</v>
      </c>
      <c r="C234" s="119">
        <f>IF(Standing!$C$85*0.5&gt;1.5,Standing!$C$85*0.5,1.5)</f>
        <v>1.5</v>
      </c>
      <c r="D234" s="218">
        <f t="shared" si="3"/>
        <v>0.4774637128</v>
      </c>
      <c r="E234" s="190">
        <f t="shared" si="12"/>
        <v>38.1</v>
      </c>
      <c r="F234" s="122">
        <f t="shared" si="13"/>
        <v>12.1275783</v>
      </c>
      <c r="G234" s="123">
        <f>C234/Introduction!$I$20</f>
        <v>0.015625</v>
      </c>
      <c r="H234" s="192">
        <f t="shared" si="6"/>
        <v>0.004973580341</v>
      </c>
      <c r="I234" s="124">
        <f>E234/Introduction!$I$20</f>
        <v>0.396875</v>
      </c>
      <c r="J234" s="125">
        <f t="shared" si="7"/>
        <v>0.1263289407</v>
      </c>
      <c r="K234" s="51"/>
      <c r="L234" s="51"/>
      <c r="M234" s="51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</row>
    <row r="235" ht="15.75" customHeight="1">
      <c r="A235" s="51"/>
      <c r="B235" s="307" t="s">
        <v>680</v>
      </c>
      <c r="C235" s="119">
        <f>IF(Standing!$C$85*0.33&gt;1,Standing!$C$85*0.33,1)</f>
        <v>1</v>
      </c>
      <c r="D235" s="218">
        <f t="shared" si="3"/>
        <v>0.3183091418</v>
      </c>
      <c r="E235" s="190">
        <f t="shared" si="12"/>
        <v>25.4</v>
      </c>
      <c r="F235" s="122">
        <f t="shared" si="13"/>
        <v>8.085052203</v>
      </c>
      <c r="G235" s="123">
        <f>C235/Introduction!$I$20</f>
        <v>0.01041666667</v>
      </c>
      <c r="H235" s="192">
        <f t="shared" si="6"/>
        <v>0.003315720227</v>
      </c>
      <c r="I235" s="124">
        <f>E235/Introduction!$I$20</f>
        <v>0.2645833333</v>
      </c>
      <c r="J235" s="125">
        <f t="shared" si="7"/>
        <v>0.08421929378</v>
      </c>
      <c r="K235" s="51"/>
      <c r="L235" s="51"/>
      <c r="M235" s="51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</row>
    <row r="236" ht="15.75" customHeight="1">
      <c r="A236" s="51"/>
      <c r="B236" s="307" t="s">
        <v>681</v>
      </c>
      <c r="C236" s="119">
        <f>Standing!$C$85*0.5</f>
        <v>1</v>
      </c>
      <c r="D236" s="218">
        <f t="shared" si="3"/>
        <v>0.3183091418</v>
      </c>
      <c r="E236" s="190">
        <f t="shared" si="12"/>
        <v>25.4</v>
      </c>
      <c r="F236" s="122">
        <f t="shared" si="13"/>
        <v>8.085052203</v>
      </c>
      <c r="G236" s="123">
        <f>C236/Introduction!$I$20</f>
        <v>0.01041666667</v>
      </c>
      <c r="H236" s="192">
        <f t="shared" si="6"/>
        <v>0.003315720227</v>
      </c>
      <c r="I236" s="124">
        <f>E236/Introduction!$I$20</f>
        <v>0.2645833333</v>
      </c>
      <c r="J236" s="125">
        <f t="shared" si="7"/>
        <v>0.08421929378</v>
      </c>
      <c r="K236" s="51"/>
      <c r="L236" s="51"/>
      <c r="M236" s="51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</row>
    <row r="237" ht="15.75" customHeight="1">
      <c r="A237" s="51"/>
      <c r="B237" s="307" t="s">
        <v>682</v>
      </c>
      <c r="C237" s="119">
        <f>Standing!$C$85*0.5</f>
        <v>1</v>
      </c>
      <c r="D237" s="218">
        <f t="shared" si="3"/>
        <v>0.3183091418</v>
      </c>
      <c r="E237" s="190">
        <f t="shared" si="12"/>
        <v>25.4</v>
      </c>
      <c r="F237" s="122">
        <f t="shared" si="13"/>
        <v>8.085052203</v>
      </c>
      <c r="G237" s="123">
        <f>C237/Introduction!$I$20</f>
        <v>0.01041666667</v>
      </c>
      <c r="H237" s="192">
        <f t="shared" si="6"/>
        <v>0.003315720227</v>
      </c>
      <c r="I237" s="124">
        <f>E237/Introduction!$I$20</f>
        <v>0.2645833333</v>
      </c>
      <c r="J237" s="125">
        <f t="shared" si="7"/>
        <v>0.08421929378</v>
      </c>
      <c r="K237" s="51"/>
      <c r="L237" s="51"/>
      <c r="M237" s="51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</row>
    <row r="238" ht="15.75" customHeight="1">
      <c r="A238" s="51"/>
      <c r="B238" s="307" t="s">
        <v>683</v>
      </c>
      <c r="C238" s="119">
        <f>Standing!$C$85</f>
        <v>2</v>
      </c>
      <c r="D238" s="218">
        <f t="shared" si="3"/>
        <v>0.6366182837</v>
      </c>
      <c r="E238" s="190">
        <f t="shared" si="12"/>
        <v>50.8</v>
      </c>
      <c r="F238" s="122">
        <f t="shared" si="13"/>
        <v>16.17010441</v>
      </c>
      <c r="G238" s="123">
        <f>C238/Introduction!$I$20</f>
        <v>0.02083333333</v>
      </c>
      <c r="H238" s="192">
        <f t="shared" si="6"/>
        <v>0.006631440455</v>
      </c>
      <c r="I238" s="124">
        <f>E238/Introduction!$I$20</f>
        <v>0.5291666667</v>
      </c>
      <c r="J238" s="125">
        <f t="shared" si="7"/>
        <v>0.1684385876</v>
      </c>
      <c r="K238" s="51"/>
      <c r="L238" s="51"/>
      <c r="M238" s="51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</row>
    <row r="239" ht="15.75" customHeight="1">
      <c r="A239" s="51"/>
      <c r="B239" s="307" t="s">
        <v>684</v>
      </c>
      <c r="C239" s="119">
        <f>IF(Standing!$C$85*0.7&gt;1.5,Standing!$C$85*0.7,1.5)</f>
        <v>1.5</v>
      </c>
      <c r="D239" s="218">
        <f t="shared" si="3"/>
        <v>0.4774637128</v>
      </c>
      <c r="E239" s="190">
        <f t="shared" si="12"/>
        <v>38.1</v>
      </c>
      <c r="F239" s="122">
        <f t="shared" si="13"/>
        <v>12.1275783</v>
      </c>
      <c r="G239" s="123">
        <f>C239/Introduction!$I$20</f>
        <v>0.015625</v>
      </c>
      <c r="H239" s="192">
        <f t="shared" si="6"/>
        <v>0.004973580341</v>
      </c>
      <c r="I239" s="124">
        <f>E239/Introduction!$I$20</f>
        <v>0.396875</v>
      </c>
      <c r="J239" s="125">
        <f t="shared" si="7"/>
        <v>0.1263289407</v>
      </c>
      <c r="K239" s="51"/>
      <c r="L239" s="51"/>
      <c r="M239" s="51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</row>
    <row r="240" ht="15.75" customHeight="1">
      <c r="A240" s="51"/>
      <c r="B240" s="307" t="s">
        <v>685</v>
      </c>
      <c r="C240" s="119">
        <f>IF(Standing!$C$85*0.5&gt;1.5,Standing!$C$85*0.5,1.5)</f>
        <v>1.5</v>
      </c>
      <c r="D240" s="218">
        <f t="shared" si="3"/>
        <v>0.4774637128</v>
      </c>
      <c r="E240" s="190">
        <f t="shared" si="12"/>
        <v>38.1</v>
      </c>
      <c r="F240" s="122">
        <f t="shared" si="13"/>
        <v>12.1275783</v>
      </c>
      <c r="G240" s="123">
        <f>C240/Introduction!$I$20</f>
        <v>0.015625</v>
      </c>
      <c r="H240" s="192">
        <f t="shared" si="6"/>
        <v>0.004973580341</v>
      </c>
      <c r="I240" s="124">
        <f>E240/Introduction!$I$20</f>
        <v>0.396875</v>
      </c>
      <c r="J240" s="125">
        <f t="shared" si="7"/>
        <v>0.1263289407</v>
      </c>
      <c r="K240" s="51"/>
      <c r="L240" s="51"/>
      <c r="M240" s="51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</row>
    <row r="241" ht="15.75" customHeight="1">
      <c r="A241" s="51"/>
      <c r="B241" s="307" t="s">
        <v>686</v>
      </c>
      <c r="C241" s="119">
        <f>IF(Standing!$C$85*0.165&gt;1,Standing!$C$85*0.165,1)</f>
        <v>1</v>
      </c>
      <c r="D241" s="218">
        <f t="shared" si="3"/>
        <v>0.3183091418</v>
      </c>
      <c r="E241" s="190">
        <f t="shared" si="12"/>
        <v>25.4</v>
      </c>
      <c r="F241" s="122">
        <f t="shared" si="13"/>
        <v>8.085052203</v>
      </c>
      <c r="G241" s="123">
        <f>C241/Introduction!$I$20</f>
        <v>0.01041666667</v>
      </c>
      <c r="H241" s="192">
        <f t="shared" si="6"/>
        <v>0.003315720227</v>
      </c>
      <c r="I241" s="124">
        <f>E241/Introduction!$I$20</f>
        <v>0.2645833333</v>
      </c>
      <c r="J241" s="125">
        <f t="shared" si="7"/>
        <v>0.08421929378</v>
      </c>
      <c r="K241" s="51"/>
      <c r="L241" s="51"/>
      <c r="M241" s="51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</row>
    <row r="242" ht="15.75" customHeight="1">
      <c r="A242" s="51"/>
      <c r="B242" s="309" t="s">
        <v>571</v>
      </c>
      <c r="C242" s="119">
        <f>Standing!$C$85*0.5</f>
        <v>1</v>
      </c>
      <c r="D242" s="218">
        <f t="shared" si="3"/>
        <v>0.3183091418</v>
      </c>
      <c r="E242" s="190">
        <f t="shared" si="12"/>
        <v>25.4</v>
      </c>
      <c r="F242" s="122">
        <f t="shared" si="13"/>
        <v>8.085052203</v>
      </c>
      <c r="G242" s="123">
        <f>C242/Introduction!$I$20</f>
        <v>0.01041666667</v>
      </c>
      <c r="H242" s="192">
        <f t="shared" si="6"/>
        <v>0.003315720227</v>
      </c>
      <c r="I242" s="124">
        <f>E242/Introduction!$I$20</f>
        <v>0.2645833333</v>
      </c>
      <c r="J242" s="125">
        <f t="shared" si="7"/>
        <v>0.08421929378</v>
      </c>
      <c r="K242" s="51"/>
      <c r="L242" s="51"/>
      <c r="M242" s="51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</row>
    <row r="243" ht="15.75" customHeight="1">
      <c r="A243" s="51"/>
      <c r="B243" s="310" t="s">
        <v>572</v>
      </c>
      <c r="C243" s="119">
        <f>IF(Standing!$C$85*0.385&gt;1,Standing!$C$85*0.385,1)</f>
        <v>1</v>
      </c>
      <c r="D243" s="218">
        <f t="shared" si="3"/>
        <v>0.3183091418</v>
      </c>
      <c r="E243" s="190">
        <f t="shared" si="12"/>
        <v>25.4</v>
      </c>
      <c r="F243" s="122">
        <f t="shared" si="13"/>
        <v>8.085052203</v>
      </c>
      <c r="G243" s="123">
        <f>C243/Introduction!$I$20</f>
        <v>0.01041666667</v>
      </c>
      <c r="H243" s="192">
        <f t="shared" si="6"/>
        <v>0.003315720227</v>
      </c>
      <c r="I243" s="124">
        <f>E243/Introduction!$I$20</f>
        <v>0.2645833333</v>
      </c>
      <c r="J243" s="125">
        <f t="shared" si="7"/>
        <v>0.08421929378</v>
      </c>
      <c r="K243" s="51"/>
      <c r="L243" s="51"/>
      <c r="M243" s="51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</row>
    <row r="244" ht="15.75" customHeight="1">
      <c r="A244" s="51"/>
      <c r="B244" s="310" t="s">
        <v>573</v>
      </c>
      <c r="C244" s="119">
        <f>Standing!$C$85*0.5</f>
        <v>1</v>
      </c>
      <c r="D244" s="218">
        <f t="shared" si="3"/>
        <v>0.3183091418</v>
      </c>
      <c r="E244" s="190">
        <f t="shared" si="12"/>
        <v>25.4</v>
      </c>
      <c r="F244" s="122">
        <f t="shared" si="13"/>
        <v>8.085052203</v>
      </c>
      <c r="G244" s="123">
        <f>C244/Introduction!$I$20</f>
        <v>0.01041666667</v>
      </c>
      <c r="H244" s="192">
        <f t="shared" si="6"/>
        <v>0.003315720227</v>
      </c>
      <c r="I244" s="124">
        <f>E244/Introduction!$I$20</f>
        <v>0.2645833333</v>
      </c>
      <c r="J244" s="125">
        <f t="shared" si="7"/>
        <v>0.08421929378</v>
      </c>
      <c r="K244" s="51"/>
      <c r="L244" s="51"/>
      <c r="M244" s="51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</row>
    <row r="245" ht="15.75" customHeight="1">
      <c r="A245" s="51"/>
      <c r="B245" s="310" t="s">
        <v>574</v>
      </c>
      <c r="C245" s="119">
        <f>IF(Standing!$C$85*0.45&gt;1,Standing!$C$85*0.45,1)</f>
        <v>1</v>
      </c>
      <c r="D245" s="218">
        <f t="shared" si="3"/>
        <v>0.3183091418</v>
      </c>
      <c r="E245" s="190">
        <f t="shared" si="12"/>
        <v>25.4</v>
      </c>
      <c r="F245" s="122">
        <f t="shared" si="13"/>
        <v>8.085052203</v>
      </c>
      <c r="G245" s="123">
        <f>C245/Introduction!$I$20</f>
        <v>0.01041666667</v>
      </c>
      <c r="H245" s="192">
        <f t="shared" si="6"/>
        <v>0.003315720227</v>
      </c>
      <c r="I245" s="124">
        <f>E245/Introduction!$I$20</f>
        <v>0.2645833333</v>
      </c>
      <c r="J245" s="125">
        <f t="shared" si="7"/>
        <v>0.08421929378</v>
      </c>
      <c r="K245" s="51"/>
      <c r="L245" s="51"/>
      <c r="M245" s="51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  <c r="BV245" s="54"/>
      <c r="BW245" s="54"/>
      <c r="BX245" s="54"/>
      <c r="BY245" s="54"/>
      <c r="BZ245" s="54"/>
      <c r="CA245" s="54"/>
      <c r="CB245" s="54"/>
      <c r="CC245" s="54"/>
      <c r="CD245" s="54"/>
      <c r="CE245" s="54"/>
      <c r="CF245" s="54"/>
      <c r="CG245" s="54"/>
      <c r="CH245" s="54"/>
      <c r="CI245" s="54"/>
      <c r="CJ245" s="54"/>
      <c r="CK245" s="54"/>
      <c r="CL245" s="54"/>
      <c r="CM245" s="54"/>
      <c r="CN245" s="54"/>
      <c r="CO245" s="54"/>
      <c r="CP245" s="54"/>
      <c r="CQ245" s="54"/>
      <c r="CR245" s="54"/>
      <c r="CS245" s="54"/>
      <c r="CT245" s="54"/>
      <c r="CU245" s="54"/>
    </row>
    <row r="246" ht="15.75" customHeight="1">
      <c r="A246" s="51"/>
      <c r="B246" s="304" t="s">
        <v>687</v>
      </c>
      <c r="C246" s="119">
        <f>Standing!$C$86</f>
        <v>2</v>
      </c>
      <c r="D246" s="218">
        <f t="shared" si="3"/>
        <v>0.6366182837</v>
      </c>
      <c r="E246" s="190">
        <f t="shared" si="12"/>
        <v>50.8</v>
      </c>
      <c r="F246" s="122">
        <f t="shared" si="13"/>
        <v>16.17010441</v>
      </c>
      <c r="G246" s="123">
        <f>C246/Introduction!$I$20</f>
        <v>0.02083333333</v>
      </c>
      <c r="H246" s="192">
        <f t="shared" si="6"/>
        <v>0.006631440455</v>
      </c>
      <c r="I246" s="124">
        <f>E246/Introduction!$I$20</f>
        <v>0.5291666667</v>
      </c>
      <c r="J246" s="125">
        <f t="shared" si="7"/>
        <v>0.1684385876</v>
      </c>
      <c r="K246" s="51"/>
      <c r="L246" s="51"/>
      <c r="M246" s="51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  <c r="BV246" s="54"/>
      <c r="BW246" s="54"/>
      <c r="BX246" s="54"/>
      <c r="BY246" s="54"/>
      <c r="BZ246" s="54"/>
      <c r="CA246" s="54"/>
      <c r="CB246" s="54"/>
      <c r="CC246" s="54"/>
      <c r="CD246" s="54"/>
      <c r="CE246" s="54"/>
      <c r="CF246" s="54"/>
      <c r="CG246" s="54"/>
      <c r="CH246" s="54"/>
      <c r="CI246" s="54"/>
      <c r="CJ246" s="54"/>
      <c r="CK246" s="54"/>
      <c r="CL246" s="54"/>
      <c r="CM246" s="54"/>
      <c r="CN246" s="54"/>
      <c r="CO246" s="54"/>
      <c r="CP246" s="54"/>
      <c r="CQ246" s="54"/>
      <c r="CR246" s="54"/>
      <c r="CS246" s="54"/>
      <c r="CT246" s="54"/>
      <c r="CU246" s="54"/>
    </row>
    <row r="247" ht="15.75" customHeight="1">
      <c r="A247" s="51"/>
      <c r="B247" s="307" t="s">
        <v>688</v>
      </c>
      <c r="C247" s="119">
        <f>Standing!$C$86*0.5</f>
        <v>1</v>
      </c>
      <c r="D247" s="218">
        <f t="shared" si="3"/>
        <v>0.3183091418</v>
      </c>
      <c r="E247" s="190">
        <f t="shared" si="12"/>
        <v>25.4</v>
      </c>
      <c r="F247" s="122">
        <f t="shared" si="13"/>
        <v>8.085052203</v>
      </c>
      <c r="G247" s="123">
        <f>C247/Introduction!$I$20</f>
        <v>0.01041666667</v>
      </c>
      <c r="H247" s="192">
        <f t="shared" si="6"/>
        <v>0.003315720227</v>
      </c>
      <c r="I247" s="124">
        <f>E247/Introduction!$I$20</f>
        <v>0.2645833333</v>
      </c>
      <c r="J247" s="125">
        <f t="shared" si="7"/>
        <v>0.08421929378</v>
      </c>
      <c r="K247" s="51"/>
      <c r="L247" s="51"/>
      <c r="M247" s="51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  <c r="BV247" s="54"/>
      <c r="BW247" s="54"/>
      <c r="BX247" s="54"/>
      <c r="BY247" s="54"/>
      <c r="BZ247" s="54"/>
      <c r="CA247" s="54"/>
      <c r="CB247" s="54"/>
      <c r="CC247" s="54"/>
      <c r="CD247" s="54"/>
      <c r="CE247" s="54"/>
      <c r="CF247" s="54"/>
      <c r="CG247" s="54"/>
      <c r="CH247" s="54"/>
      <c r="CI247" s="54"/>
      <c r="CJ247" s="54"/>
      <c r="CK247" s="54"/>
      <c r="CL247" s="54"/>
      <c r="CM247" s="54"/>
      <c r="CN247" s="54"/>
      <c r="CO247" s="54"/>
      <c r="CP247" s="54"/>
      <c r="CQ247" s="54"/>
      <c r="CR247" s="54"/>
      <c r="CS247" s="54"/>
      <c r="CT247" s="54"/>
      <c r="CU247" s="54"/>
    </row>
    <row r="248" ht="15.75" customHeight="1">
      <c r="A248" s="51"/>
      <c r="B248" s="307" t="s">
        <v>689</v>
      </c>
      <c r="C248" s="119">
        <f>Standing!$C$86*0.75</f>
        <v>1.5</v>
      </c>
      <c r="D248" s="218">
        <f t="shared" si="3"/>
        <v>0.4774637128</v>
      </c>
      <c r="E248" s="190">
        <f t="shared" si="12"/>
        <v>38.1</v>
      </c>
      <c r="F248" s="122">
        <f t="shared" si="13"/>
        <v>12.1275783</v>
      </c>
      <c r="G248" s="123">
        <f>C248/Introduction!$I$20</f>
        <v>0.015625</v>
      </c>
      <c r="H248" s="192">
        <f t="shared" si="6"/>
        <v>0.004973580341</v>
      </c>
      <c r="I248" s="124">
        <f>E248/Introduction!$I$20</f>
        <v>0.396875</v>
      </c>
      <c r="J248" s="125">
        <f t="shared" si="7"/>
        <v>0.1263289407</v>
      </c>
      <c r="K248" s="51"/>
      <c r="L248" s="51"/>
      <c r="M248" s="51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  <c r="BV248" s="54"/>
      <c r="BW248" s="54"/>
      <c r="BX248" s="54"/>
      <c r="BY248" s="54"/>
      <c r="BZ248" s="54"/>
      <c r="CA248" s="54"/>
      <c r="CB248" s="54"/>
      <c r="CC248" s="54"/>
      <c r="CD248" s="54"/>
      <c r="CE248" s="54"/>
      <c r="CF248" s="54"/>
      <c r="CG248" s="54"/>
      <c r="CH248" s="54"/>
      <c r="CI248" s="54"/>
      <c r="CJ248" s="54"/>
      <c r="CK248" s="54"/>
      <c r="CL248" s="54"/>
      <c r="CM248" s="54"/>
      <c r="CN248" s="54"/>
      <c r="CO248" s="54"/>
      <c r="CP248" s="54"/>
      <c r="CQ248" s="54"/>
      <c r="CR248" s="54"/>
      <c r="CS248" s="54"/>
      <c r="CT248" s="54"/>
      <c r="CU248" s="54"/>
    </row>
    <row r="249" ht="15.75" customHeight="1">
      <c r="A249" s="51"/>
      <c r="B249" s="307" t="s">
        <v>690</v>
      </c>
      <c r="C249" s="119">
        <f>Standing!$C$86*0.75</f>
        <v>1.5</v>
      </c>
      <c r="D249" s="218">
        <f t="shared" si="3"/>
        <v>0.4774637128</v>
      </c>
      <c r="E249" s="190">
        <f t="shared" si="12"/>
        <v>38.1</v>
      </c>
      <c r="F249" s="122">
        <f t="shared" si="13"/>
        <v>12.1275783</v>
      </c>
      <c r="G249" s="123">
        <f>C249/Introduction!$I$20</f>
        <v>0.015625</v>
      </c>
      <c r="H249" s="192">
        <f t="shared" si="6"/>
        <v>0.004973580341</v>
      </c>
      <c r="I249" s="124">
        <f>E249/Introduction!$I$20</f>
        <v>0.396875</v>
      </c>
      <c r="J249" s="125">
        <f t="shared" si="7"/>
        <v>0.1263289407</v>
      </c>
      <c r="K249" s="51"/>
      <c r="L249" s="51"/>
      <c r="M249" s="51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  <c r="BV249" s="54"/>
      <c r="BW249" s="54"/>
      <c r="BX249" s="54"/>
      <c r="BY249" s="54"/>
      <c r="BZ249" s="54"/>
      <c r="CA249" s="54"/>
      <c r="CB249" s="54"/>
      <c r="CC249" s="54"/>
      <c r="CD249" s="54"/>
      <c r="CE249" s="54"/>
      <c r="CF249" s="54"/>
      <c r="CG249" s="54"/>
      <c r="CH249" s="54"/>
      <c r="CI249" s="54"/>
      <c r="CJ249" s="54"/>
      <c r="CK249" s="54"/>
      <c r="CL249" s="54"/>
      <c r="CM249" s="54"/>
      <c r="CN249" s="54"/>
      <c r="CO249" s="54"/>
      <c r="CP249" s="54"/>
      <c r="CQ249" s="54"/>
      <c r="CR249" s="54"/>
      <c r="CS249" s="54"/>
      <c r="CT249" s="54"/>
      <c r="CU249" s="54"/>
    </row>
    <row r="250" ht="15.75" customHeight="1">
      <c r="A250" s="51"/>
      <c r="B250" s="307" t="s">
        <v>691</v>
      </c>
      <c r="C250" s="119">
        <f>Standing!$C$86*0.5</f>
        <v>1</v>
      </c>
      <c r="D250" s="218">
        <f t="shared" si="3"/>
        <v>0.3183091418</v>
      </c>
      <c r="E250" s="190">
        <f t="shared" si="12"/>
        <v>25.4</v>
      </c>
      <c r="F250" s="122">
        <f t="shared" si="13"/>
        <v>8.085052203</v>
      </c>
      <c r="G250" s="123">
        <f>C250/Introduction!$I$20</f>
        <v>0.01041666667</v>
      </c>
      <c r="H250" s="192">
        <f t="shared" si="6"/>
        <v>0.003315720227</v>
      </c>
      <c r="I250" s="124">
        <f>E250/Introduction!$I$20</f>
        <v>0.2645833333</v>
      </c>
      <c r="J250" s="125">
        <f t="shared" si="7"/>
        <v>0.08421929378</v>
      </c>
      <c r="K250" s="51"/>
      <c r="L250" s="51"/>
      <c r="M250" s="51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  <c r="BV250" s="54"/>
      <c r="BW250" s="54"/>
      <c r="BX250" s="54"/>
      <c r="BY250" s="54"/>
      <c r="BZ250" s="54"/>
      <c r="CA250" s="54"/>
      <c r="CB250" s="54"/>
      <c r="CC250" s="54"/>
      <c r="CD250" s="54"/>
      <c r="CE250" s="54"/>
      <c r="CF250" s="54"/>
      <c r="CG250" s="54"/>
      <c r="CH250" s="54"/>
      <c r="CI250" s="54"/>
      <c r="CJ250" s="54"/>
      <c r="CK250" s="54"/>
      <c r="CL250" s="54"/>
      <c r="CM250" s="54"/>
      <c r="CN250" s="54"/>
      <c r="CO250" s="54"/>
      <c r="CP250" s="54"/>
      <c r="CQ250" s="54"/>
      <c r="CR250" s="54"/>
      <c r="CS250" s="54"/>
      <c r="CT250" s="54"/>
      <c r="CU250" s="54"/>
    </row>
    <row r="251" ht="15.75" customHeight="1">
      <c r="A251" s="51"/>
      <c r="B251" s="307" t="s">
        <v>692</v>
      </c>
      <c r="C251" s="119">
        <f>Standing!$C$86*0.5</f>
        <v>1</v>
      </c>
      <c r="D251" s="218">
        <f t="shared" si="3"/>
        <v>0.3183091418</v>
      </c>
      <c r="E251" s="190">
        <f t="shared" si="12"/>
        <v>25.4</v>
      </c>
      <c r="F251" s="122">
        <f t="shared" si="13"/>
        <v>8.085052203</v>
      </c>
      <c r="G251" s="123">
        <f>C251/Introduction!$I$20</f>
        <v>0.01041666667</v>
      </c>
      <c r="H251" s="192">
        <f t="shared" si="6"/>
        <v>0.003315720227</v>
      </c>
      <c r="I251" s="124">
        <f>E251/Introduction!$I$20</f>
        <v>0.2645833333</v>
      </c>
      <c r="J251" s="125">
        <f t="shared" si="7"/>
        <v>0.08421929378</v>
      </c>
      <c r="K251" s="51"/>
      <c r="L251" s="51"/>
      <c r="M251" s="51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  <c r="BV251" s="54"/>
      <c r="BW251" s="54"/>
      <c r="BX251" s="54"/>
      <c r="BY251" s="54"/>
      <c r="BZ251" s="54"/>
      <c r="CA251" s="54"/>
      <c r="CB251" s="54"/>
      <c r="CC251" s="54"/>
      <c r="CD251" s="54"/>
      <c r="CE251" s="54"/>
      <c r="CF251" s="54"/>
      <c r="CG251" s="54"/>
      <c r="CH251" s="54"/>
      <c r="CI251" s="54"/>
      <c r="CJ251" s="54"/>
      <c r="CK251" s="54"/>
      <c r="CL251" s="54"/>
      <c r="CM251" s="54"/>
      <c r="CN251" s="54"/>
      <c r="CO251" s="54"/>
      <c r="CP251" s="54"/>
      <c r="CQ251" s="54"/>
      <c r="CR251" s="54"/>
      <c r="CS251" s="54"/>
      <c r="CT251" s="54"/>
      <c r="CU251" s="54"/>
    </row>
    <row r="252" ht="15.75" customHeight="1">
      <c r="A252" s="51"/>
      <c r="B252" s="307" t="s">
        <v>693</v>
      </c>
      <c r="C252" s="119">
        <f>Standing!$C$86</f>
        <v>2</v>
      </c>
      <c r="D252" s="218">
        <f t="shared" si="3"/>
        <v>0.6366182837</v>
      </c>
      <c r="E252" s="190">
        <f t="shared" si="12"/>
        <v>50.8</v>
      </c>
      <c r="F252" s="122">
        <f t="shared" si="13"/>
        <v>16.17010441</v>
      </c>
      <c r="G252" s="123">
        <f>C252/Introduction!$I$20</f>
        <v>0.02083333333</v>
      </c>
      <c r="H252" s="192">
        <f t="shared" si="6"/>
        <v>0.006631440455</v>
      </c>
      <c r="I252" s="124">
        <f>E252/Introduction!$I$20</f>
        <v>0.5291666667</v>
      </c>
      <c r="J252" s="125">
        <f t="shared" si="7"/>
        <v>0.1684385876</v>
      </c>
      <c r="K252" s="51"/>
      <c r="L252" s="51"/>
      <c r="M252" s="51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  <c r="BV252" s="54"/>
      <c r="BW252" s="54"/>
      <c r="BX252" s="54"/>
      <c r="BY252" s="54"/>
      <c r="BZ252" s="54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54"/>
      <c r="CL252" s="54"/>
      <c r="CM252" s="54"/>
      <c r="CN252" s="54"/>
      <c r="CO252" s="54"/>
      <c r="CP252" s="54"/>
      <c r="CQ252" s="54"/>
      <c r="CR252" s="54"/>
      <c r="CS252" s="54"/>
      <c r="CT252" s="54"/>
      <c r="CU252" s="54"/>
    </row>
    <row r="253" ht="15.75" customHeight="1">
      <c r="A253" s="51"/>
      <c r="B253" s="307" t="s">
        <v>694</v>
      </c>
      <c r="C253" s="119">
        <f>IF(Standing!$C$86*0.5&gt;1.5,Standing!$C$86*0.5,1.5)</f>
        <v>1.5</v>
      </c>
      <c r="D253" s="218">
        <f t="shared" si="3"/>
        <v>0.4774637128</v>
      </c>
      <c r="E253" s="190">
        <f t="shared" si="12"/>
        <v>38.1</v>
      </c>
      <c r="F253" s="122">
        <f t="shared" si="13"/>
        <v>12.1275783</v>
      </c>
      <c r="G253" s="123">
        <f>C253/Introduction!$I$20</f>
        <v>0.015625</v>
      </c>
      <c r="H253" s="192">
        <f t="shared" si="6"/>
        <v>0.004973580341</v>
      </c>
      <c r="I253" s="124">
        <f>E253/Introduction!$I$20</f>
        <v>0.396875</v>
      </c>
      <c r="J253" s="125">
        <f t="shared" si="7"/>
        <v>0.1263289407</v>
      </c>
      <c r="K253" s="51"/>
      <c r="L253" s="51"/>
      <c r="M253" s="51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</row>
    <row r="254" ht="15.75" customHeight="1">
      <c r="A254" s="51"/>
      <c r="B254" s="307" t="s">
        <v>695</v>
      </c>
      <c r="C254" s="119">
        <f>IF(Standing!$C$86*0.2&gt;1,Standing!$C$86*0.2,1)</f>
        <v>1</v>
      </c>
      <c r="D254" s="218">
        <f t="shared" si="3"/>
        <v>0.3183091418</v>
      </c>
      <c r="E254" s="190">
        <f t="shared" si="12"/>
        <v>25.4</v>
      </c>
      <c r="F254" s="122">
        <f t="shared" si="13"/>
        <v>8.085052203</v>
      </c>
      <c r="G254" s="123">
        <f>C254/Introduction!$I$20</f>
        <v>0.01041666667</v>
      </c>
      <c r="H254" s="192">
        <f t="shared" si="6"/>
        <v>0.003315720227</v>
      </c>
      <c r="I254" s="124">
        <f>E254/Introduction!$I$20</f>
        <v>0.2645833333</v>
      </c>
      <c r="J254" s="125">
        <f t="shared" si="7"/>
        <v>0.08421929378</v>
      </c>
      <c r="K254" s="51"/>
      <c r="L254" s="51"/>
      <c r="M254" s="51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</row>
    <row r="255" ht="15.75" customHeight="1">
      <c r="A255" s="51"/>
      <c r="B255" s="311" t="s">
        <v>696</v>
      </c>
      <c r="C255" s="119">
        <f>Standing!$C$75*0.25</f>
        <v>1.637084427</v>
      </c>
      <c r="D255" s="218">
        <f t="shared" si="3"/>
        <v>0.5210989391</v>
      </c>
      <c r="E255" s="190">
        <f t="shared" si="12"/>
        <v>41.58194444</v>
      </c>
      <c r="F255" s="122">
        <f t="shared" si="13"/>
        <v>13.23591305</v>
      </c>
      <c r="G255" s="123">
        <f>C255/Introduction!$I$20</f>
        <v>0.01705296278</v>
      </c>
      <c r="H255" s="192">
        <f t="shared" si="6"/>
        <v>0.005428113949</v>
      </c>
      <c r="I255" s="124">
        <f>E255/Introduction!$I$20</f>
        <v>0.4331452546</v>
      </c>
      <c r="J255" s="125">
        <f t="shared" si="7"/>
        <v>0.1378740943</v>
      </c>
      <c r="K255" s="51"/>
      <c r="L255" s="51"/>
      <c r="M255" s="51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</row>
    <row r="256" ht="15.75" customHeight="1">
      <c r="A256" s="51"/>
      <c r="B256" s="312" t="s">
        <v>697</v>
      </c>
      <c r="C256" s="119">
        <f>AU136</f>
        <v>1.637084427</v>
      </c>
      <c r="D256" s="218">
        <f t="shared" si="3"/>
        <v>0.5210989391</v>
      </c>
      <c r="E256" s="190">
        <f t="shared" si="12"/>
        <v>41.58194444</v>
      </c>
      <c r="F256" s="122">
        <f t="shared" si="13"/>
        <v>13.23591305</v>
      </c>
      <c r="G256" s="123">
        <f>C256/Introduction!$I$20</f>
        <v>0.01705296278</v>
      </c>
      <c r="H256" s="192">
        <f t="shared" si="6"/>
        <v>0.005428113949</v>
      </c>
      <c r="I256" s="124">
        <f>E256/Introduction!$I$20</f>
        <v>0.4331452546</v>
      </c>
      <c r="J256" s="125">
        <f t="shared" si="7"/>
        <v>0.1378740943</v>
      </c>
      <c r="K256" s="51"/>
      <c r="L256" s="51"/>
      <c r="M256" s="51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</row>
    <row r="257" ht="15.75" customHeight="1">
      <c r="A257" s="51"/>
      <c r="B257" s="312" t="s">
        <v>698</v>
      </c>
      <c r="C257" s="119">
        <f>IF(C256*0.33&gt;1,C256*0.33,1)</f>
        <v>1</v>
      </c>
      <c r="D257" s="218">
        <f t="shared" si="3"/>
        <v>0.3183091418</v>
      </c>
      <c r="E257" s="190">
        <f t="shared" si="12"/>
        <v>25.4</v>
      </c>
      <c r="F257" s="122">
        <f t="shared" si="13"/>
        <v>8.085052203</v>
      </c>
      <c r="G257" s="123">
        <f>C257/Introduction!$I$20</f>
        <v>0.01041666667</v>
      </c>
      <c r="H257" s="192">
        <f t="shared" si="6"/>
        <v>0.003315720227</v>
      </c>
      <c r="I257" s="124">
        <f>E257/Introduction!$I$20</f>
        <v>0.2645833333</v>
      </c>
      <c r="J257" s="125">
        <f t="shared" si="7"/>
        <v>0.08421929378</v>
      </c>
      <c r="K257" s="51"/>
      <c r="L257" s="51"/>
      <c r="M257" s="51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</row>
    <row r="258" ht="15.75" customHeight="1">
      <c r="A258" s="51"/>
      <c r="B258" s="312" t="s">
        <v>699</v>
      </c>
      <c r="C258" s="189">
        <f>AV136</f>
        <v>1.309667542</v>
      </c>
      <c r="D258" s="218">
        <f t="shared" si="3"/>
        <v>0.4168791512</v>
      </c>
      <c r="E258" s="190">
        <f t="shared" si="12"/>
        <v>33.26555556</v>
      </c>
      <c r="F258" s="122">
        <f t="shared" si="13"/>
        <v>10.58873044</v>
      </c>
      <c r="G258" s="123">
        <f>C258/Introduction!$I$20</f>
        <v>0.01364237022</v>
      </c>
      <c r="H258" s="192">
        <f t="shared" si="6"/>
        <v>0.004342491159</v>
      </c>
      <c r="I258" s="124">
        <f>E258/Introduction!$I$20</f>
        <v>0.3465162037</v>
      </c>
      <c r="J258" s="125">
        <f t="shared" si="7"/>
        <v>0.1102992754</v>
      </c>
      <c r="K258" s="51"/>
      <c r="L258" s="51"/>
      <c r="M258" s="51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</row>
    <row r="259" ht="15.75" customHeight="1">
      <c r="A259" s="51"/>
      <c r="B259" s="310" t="s">
        <v>700</v>
      </c>
      <c r="C259" s="119">
        <f>IF(Standing!$C$75*0.1&gt;1,Standing!$C$75*0.1,1)</f>
        <v>1</v>
      </c>
      <c r="D259" s="218">
        <f t="shared" si="3"/>
        <v>0.3183091418</v>
      </c>
      <c r="E259" s="190">
        <f t="shared" si="12"/>
        <v>25.4</v>
      </c>
      <c r="F259" s="122">
        <f t="shared" si="13"/>
        <v>8.085052203</v>
      </c>
      <c r="G259" s="123">
        <f>C259/Introduction!$I$20</f>
        <v>0.01041666667</v>
      </c>
      <c r="H259" s="192">
        <f t="shared" si="6"/>
        <v>0.003315720227</v>
      </c>
      <c r="I259" s="124">
        <f>E259/Introduction!$I$20</f>
        <v>0.2645833333</v>
      </c>
      <c r="J259" s="125">
        <f t="shared" si="7"/>
        <v>0.08421929378</v>
      </c>
      <c r="K259" s="51"/>
      <c r="L259" s="51"/>
      <c r="M259" s="51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</row>
    <row r="260" ht="15.75" customHeight="1">
      <c r="A260" s="51"/>
      <c r="B260" s="310" t="s">
        <v>701</v>
      </c>
      <c r="C260" s="119">
        <f>Standing!$C$75*0.21</f>
        <v>1.375150919</v>
      </c>
      <c r="D260" s="218">
        <f t="shared" si="3"/>
        <v>0.4377231088</v>
      </c>
      <c r="E260" s="190">
        <f t="shared" si="12"/>
        <v>34.92883333</v>
      </c>
      <c r="F260" s="122">
        <f t="shared" si="13"/>
        <v>11.11816696</v>
      </c>
      <c r="G260" s="123">
        <f>C260/Introduction!$I$20</f>
        <v>0.01432448874</v>
      </c>
      <c r="H260" s="192">
        <f t="shared" si="6"/>
        <v>0.004559615717</v>
      </c>
      <c r="I260" s="124">
        <f>E260/Introduction!$I$20</f>
        <v>0.3638420139</v>
      </c>
      <c r="J260" s="125">
        <f t="shared" si="7"/>
        <v>0.1158142392</v>
      </c>
      <c r="K260" s="51"/>
      <c r="L260" s="51"/>
      <c r="M260" s="51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</row>
    <row r="261" ht="15.75" customHeight="1">
      <c r="A261" s="51"/>
      <c r="B261" s="311" t="s">
        <v>702</v>
      </c>
      <c r="C261" s="119">
        <f>Standing!$C$81*0.5</f>
        <v>1.637084427</v>
      </c>
      <c r="D261" s="218">
        <f t="shared" si="3"/>
        <v>0.5210989391</v>
      </c>
      <c r="E261" s="190">
        <f t="shared" si="12"/>
        <v>41.58194444</v>
      </c>
      <c r="F261" s="122">
        <f t="shared" si="13"/>
        <v>13.23591305</v>
      </c>
      <c r="G261" s="123">
        <f>C261/Introduction!$I$20</f>
        <v>0.01705296278</v>
      </c>
      <c r="H261" s="192">
        <f t="shared" si="6"/>
        <v>0.005428113949</v>
      </c>
      <c r="I261" s="124">
        <f>E261/Introduction!$I$20</f>
        <v>0.4331452546</v>
      </c>
      <c r="J261" s="125">
        <f t="shared" si="7"/>
        <v>0.1378740943</v>
      </c>
      <c r="K261" s="51"/>
      <c r="L261" s="51"/>
      <c r="M261" s="51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  <c r="BV261" s="54"/>
      <c r="BW261" s="54"/>
      <c r="BX261" s="54"/>
      <c r="BY261" s="54"/>
      <c r="BZ261" s="54"/>
      <c r="CA261" s="54"/>
      <c r="CB261" s="54"/>
      <c r="CC261" s="54"/>
      <c r="CD261" s="54"/>
      <c r="CE261" s="54"/>
      <c r="CF261" s="54"/>
      <c r="CG261" s="54"/>
      <c r="CH261" s="54"/>
      <c r="CI261" s="54"/>
      <c r="CJ261" s="54"/>
      <c r="CK261" s="54"/>
      <c r="CL261" s="54"/>
      <c r="CM261" s="54"/>
      <c r="CN261" s="54"/>
      <c r="CO261" s="54"/>
      <c r="CP261" s="54"/>
      <c r="CQ261" s="54"/>
      <c r="CR261" s="54"/>
      <c r="CS261" s="54"/>
      <c r="CT261" s="54"/>
      <c r="CU261" s="54"/>
    </row>
    <row r="262" ht="15.75" customHeight="1">
      <c r="A262" s="51"/>
      <c r="B262" s="312" t="s">
        <v>703</v>
      </c>
      <c r="C262" s="119">
        <f>Standing!$C$81*0.5</f>
        <v>1.637084427</v>
      </c>
      <c r="D262" s="218">
        <f t="shared" si="3"/>
        <v>0.5210989391</v>
      </c>
      <c r="E262" s="190">
        <f t="shared" si="12"/>
        <v>41.58194444</v>
      </c>
      <c r="F262" s="122">
        <f t="shared" si="13"/>
        <v>13.23591305</v>
      </c>
      <c r="G262" s="123">
        <f>C262/Introduction!$I$20</f>
        <v>0.01705296278</v>
      </c>
      <c r="H262" s="192">
        <f t="shared" si="6"/>
        <v>0.005428113949</v>
      </c>
      <c r="I262" s="124">
        <f>E262/Introduction!$I$20</f>
        <v>0.4331452546</v>
      </c>
      <c r="J262" s="125">
        <f t="shared" si="7"/>
        <v>0.1378740943</v>
      </c>
      <c r="K262" s="51"/>
      <c r="L262" s="51"/>
      <c r="M262" s="51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</row>
    <row r="263" ht="15.75" customHeight="1">
      <c r="A263" s="51"/>
      <c r="B263" s="312" t="s">
        <v>704</v>
      </c>
      <c r="C263" s="119">
        <f>Standing!$C$81*0.5</f>
        <v>1.637084427</v>
      </c>
      <c r="D263" s="218">
        <f t="shared" si="3"/>
        <v>0.5210989391</v>
      </c>
      <c r="E263" s="190">
        <f t="shared" si="12"/>
        <v>41.58194444</v>
      </c>
      <c r="F263" s="122">
        <f t="shared" si="13"/>
        <v>13.23591305</v>
      </c>
      <c r="G263" s="123">
        <f>C263/Introduction!$I$20</f>
        <v>0.01705296278</v>
      </c>
      <c r="H263" s="192">
        <f t="shared" si="6"/>
        <v>0.005428113949</v>
      </c>
      <c r="I263" s="124">
        <f>E263/Introduction!$I$20</f>
        <v>0.4331452546</v>
      </c>
      <c r="J263" s="125">
        <f t="shared" si="7"/>
        <v>0.1378740943</v>
      </c>
      <c r="K263" s="51"/>
      <c r="L263" s="51"/>
      <c r="M263" s="51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  <c r="BV263" s="54"/>
      <c r="BW263" s="54"/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  <c r="CH263" s="54"/>
      <c r="CI263" s="54"/>
      <c r="CJ263" s="54"/>
      <c r="CK263" s="54"/>
      <c r="CL263" s="54"/>
      <c r="CM263" s="54"/>
      <c r="CN263" s="54"/>
      <c r="CO263" s="54"/>
      <c r="CP263" s="54"/>
      <c r="CQ263" s="54"/>
      <c r="CR263" s="54"/>
      <c r="CS263" s="54"/>
      <c r="CT263" s="54"/>
      <c r="CU263" s="54"/>
    </row>
    <row r="264" ht="15.75" customHeight="1">
      <c r="A264" s="51"/>
      <c r="B264" s="310" t="s">
        <v>705</v>
      </c>
      <c r="C264" s="119">
        <f>Standing!$C$81*0.36</f>
        <v>1.178700787</v>
      </c>
      <c r="D264" s="218">
        <f t="shared" si="3"/>
        <v>0.3751912361</v>
      </c>
      <c r="E264" s="190">
        <f t="shared" si="12"/>
        <v>29.939</v>
      </c>
      <c r="F264" s="122">
        <f t="shared" si="13"/>
        <v>9.529857397</v>
      </c>
      <c r="G264" s="123">
        <f>C264/Introduction!$I$20</f>
        <v>0.0122781332</v>
      </c>
      <c r="H264" s="192">
        <f t="shared" si="6"/>
        <v>0.003908242043</v>
      </c>
      <c r="I264" s="124">
        <f>E264/Introduction!$I$20</f>
        <v>0.3118645833</v>
      </c>
      <c r="J264" s="125">
        <f t="shared" si="7"/>
        <v>0.09926934789</v>
      </c>
      <c r="K264" s="51"/>
      <c r="L264" s="51"/>
      <c r="M264" s="51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  <c r="BV264" s="54"/>
      <c r="BW264" s="54"/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  <c r="CH264" s="54"/>
      <c r="CI264" s="54"/>
      <c r="CJ264" s="54"/>
      <c r="CK264" s="54"/>
      <c r="CL264" s="54"/>
      <c r="CM264" s="54"/>
      <c r="CN264" s="54"/>
      <c r="CO264" s="54"/>
      <c r="CP264" s="54"/>
      <c r="CQ264" s="54"/>
      <c r="CR264" s="54"/>
      <c r="CS264" s="54"/>
      <c r="CT264" s="54"/>
      <c r="CU264" s="54"/>
    </row>
    <row r="265" ht="15.75" customHeight="1">
      <c r="A265" s="51"/>
      <c r="B265" s="310" t="s">
        <v>706</v>
      </c>
      <c r="C265" s="119">
        <f>Standing!$C$81*0.5</f>
        <v>1.637084427</v>
      </c>
      <c r="D265" s="218">
        <f t="shared" si="3"/>
        <v>0.5210989391</v>
      </c>
      <c r="E265" s="190">
        <f t="shared" si="12"/>
        <v>41.58194444</v>
      </c>
      <c r="F265" s="122">
        <f t="shared" si="13"/>
        <v>13.23591305</v>
      </c>
      <c r="G265" s="123">
        <f>C265/Introduction!$I$20</f>
        <v>0.01705296278</v>
      </c>
      <c r="H265" s="192">
        <f t="shared" si="6"/>
        <v>0.005428113949</v>
      </c>
      <c r="I265" s="124">
        <f>E265/Introduction!$I$20</f>
        <v>0.4331452546</v>
      </c>
      <c r="J265" s="125">
        <f t="shared" si="7"/>
        <v>0.1378740943</v>
      </c>
      <c r="K265" s="51"/>
      <c r="L265" s="51"/>
      <c r="M265" s="51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  <c r="BV265" s="54"/>
      <c r="BW265" s="54"/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  <c r="CH265" s="54"/>
      <c r="CI265" s="54"/>
      <c r="CJ265" s="54"/>
      <c r="CK265" s="54"/>
      <c r="CL265" s="54"/>
      <c r="CM265" s="54"/>
      <c r="CN265" s="54"/>
      <c r="CO265" s="54"/>
      <c r="CP265" s="54"/>
      <c r="CQ265" s="54"/>
      <c r="CR265" s="54"/>
      <c r="CS265" s="54"/>
      <c r="CT265" s="54"/>
      <c r="CU265" s="54"/>
    </row>
    <row r="266" ht="15.75" customHeight="1">
      <c r="A266" s="51"/>
      <c r="B266" s="310" t="s">
        <v>707</v>
      </c>
      <c r="C266" s="119">
        <f>Standing!$C$81*0.45</f>
        <v>1.473375984</v>
      </c>
      <c r="D266" s="218">
        <f t="shared" si="3"/>
        <v>0.4689890452</v>
      </c>
      <c r="E266" s="190">
        <f t="shared" si="12"/>
        <v>37.42375</v>
      </c>
      <c r="F266" s="122">
        <f t="shared" si="13"/>
        <v>11.91232175</v>
      </c>
      <c r="G266" s="123">
        <f>C266/Introduction!$I$20</f>
        <v>0.0153476665</v>
      </c>
      <c r="H266" s="192">
        <f t="shared" si="6"/>
        <v>0.004885302554</v>
      </c>
      <c r="I266" s="124">
        <f>E266/Introduction!$I$20</f>
        <v>0.3898307292</v>
      </c>
      <c r="J266" s="125">
        <f t="shared" si="7"/>
        <v>0.1240866849</v>
      </c>
      <c r="K266" s="51"/>
      <c r="L266" s="51"/>
      <c r="M266" s="51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</row>
    <row r="267" ht="15.75" customHeight="1">
      <c r="A267" s="51"/>
      <c r="B267" s="310" t="s">
        <v>708</v>
      </c>
      <c r="C267" s="119">
        <f>IF(Standing!$C$81*0.237&gt;1,Standing!$C$81*0.237,1)</f>
        <v>1</v>
      </c>
      <c r="D267" s="218">
        <f t="shared" si="3"/>
        <v>0.3183091418</v>
      </c>
      <c r="E267" s="190">
        <f t="shared" si="12"/>
        <v>25.4</v>
      </c>
      <c r="F267" s="122">
        <f t="shared" si="13"/>
        <v>8.085052203</v>
      </c>
      <c r="G267" s="123">
        <f>C267/Introduction!$I$20</f>
        <v>0.01041666667</v>
      </c>
      <c r="H267" s="192">
        <f t="shared" si="6"/>
        <v>0.003315720227</v>
      </c>
      <c r="I267" s="124">
        <f>E267/Introduction!$I$20</f>
        <v>0.2645833333</v>
      </c>
      <c r="J267" s="125">
        <f t="shared" si="7"/>
        <v>0.08421929378</v>
      </c>
      <c r="K267" s="51"/>
      <c r="L267" s="51"/>
      <c r="M267" s="51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  <c r="BV267" s="54"/>
      <c r="BW267" s="54"/>
      <c r="BX267" s="54"/>
      <c r="BY267" s="54"/>
      <c r="BZ267" s="54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</row>
    <row r="268" ht="15.75" customHeight="1">
      <c r="A268" s="51"/>
      <c r="B268" s="310" t="s">
        <v>709</v>
      </c>
      <c r="C268" s="119">
        <f>IF(Standing!$C$81*0.18&gt;1,Standing!$C$81*0.18,1)</f>
        <v>1</v>
      </c>
      <c r="D268" s="218">
        <f t="shared" si="3"/>
        <v>0.3183091418</v>
      </c>
      <c r="E268" s="190">
        <f t="shared" si="12"/>
        <v>25.4</v>
      </c>
      <c r="F268" s="122">
        <f t="shared" si="13"/>
        <v>8.085052203</v>
      </c>
      <c r="G268" s="123">
        <f>C268/Introduction!$I$20</f>
        <v>0.01041666667</v>
      </c>
      <c r="H268" s="192">
        <f t="shared" si="6"/>
        <v>0.003315720227</v>
      </c>
      <c r="I268" s="124">
        <f>E268/Introduction!$I$20</f>
        <v>0.2645833333</v>
      </c>
      <c r="J268" s="125">
        <f t="shared" si="7"/>
        <v>0.08421929378</v>
      </c>
      <c r="K268" s="51"/>
      <c r="L268" s="51"/>
      <c r="M268" s="51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  <c r="BV268" s="54"/>
      <c r="BW268" s="54"/>
      <c r="BX268" s="54"/>
      <c r="BY268" s="54"/>
      <c r="BZ268" s="54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</row>
    <row r="269" ht="15.75" customHeight="1">
      <c r="A269" s="51"/>
      <c r="B269" s="309" t="s">
        <v>710</v>
      </c>
      <c r="C269" s="119">
        <f>Standing!$C$81*0.5</f>
        <v>1.637084427</v>
      </c>
      <c r="D269" s="218">
        <f t="shared" si="3"/>
        <v>0.5210989391</v>
      </c>
      <c r="E269" s="190">
        <f t="shared" si="12"/>
        <v>41.58194444</v>
      </c>
      <c r="F269" s="122">
        <f t="shared" si="13"/>
        <v>13.23591305</v>
      </c>
      <c r="G269" s="123">
        <f>C269/Introduction!$I$20</f>
        <v>0.01705296278</v>
      </c>
      <c r="H269" s="192">
        <f t="shared" si="6"/>
        <v>0.005428113949</v>
      </c>
      <c r="I269" s="124">
        <f>E269/Introduction!$I$20</f>
        <v>0.4331452546</v>
      </c>
      <c r="J269" s="125">
        <f t="shared" si="7"/>
        <v>0.1378740943</v>
      </c>
      <c r="K269" s="51"/>
      <c r="L269" s="51"/>
      <c r="M269" s="51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  <c r="BV269" s="54"/>
      <c r="BW269" s="54"/>
      <c r="BX269" s="54"/>
      <c r="BY269" s="54"/>
      <c r="BZ269" s="54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</row>
    <row r="270" ht="15.75" customHeight="1">
      <c r="A270" s="51"/>
      <c r="B270" s="310" t="s">
        <v>711</v>
      </c>
      <c r="C270" s="119">
        <f>IF(Standing!$C$81*0.25&gt;1,Standing!$C$81*0.25,1)</f>
        <v>1</v>
      </c>
      <c r="D270" s="218">
        <f t="shared" si="3"/>
        <v>0.3183091418</v>
      </c>
      <c r="E270" s="190">
        <f t="shared" si="12"/>
        <v>25.4</v>
      </c>
      <c r="F270" s="122">
        <f t="shared" si="13"/>
        <v>8.085052203</v>
      </c>
      <c r="G270" s="123">
        <f>C270/Introduction!$I$20</f>
        <v>0.01041666667</v>
      </c>
      <c r="H270" s="192">
        <f t="shared" si="6"/>
        <v>0.003315720227</v>
      </c>
      <c r="I270" s="124">
        <f>E270/Introduction!$I$20</f>
        <v>0.2645833333</v>
      </c>
      <c r="J270" s="125">
        <f t="shared" si="7"/>
        <v>0.08421929378</v>
      </c>
      <c r="K270" s="51"/>
      <c r="L270" s="51"/>
      <c r="M270" s="51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  <c r="BV270" s="54"/>
      <c r="BW270" s="54"/>
      <c r="BX270" s="54"/>
      <c r="BY270" s="54"/>
      <c r="BZ270" s="54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</row>
    <row r="271" ht="15.75" customHeight="1">
      <c r="A271" s="51"/>
      <c r="B271" s="310" t="s">
        <v>712</v>
      </c>
      <c r="C271" s="119">
        <f>IF(Standing!$C$81*0.25&gt;1,Standing!$C$81*0.25,1)</f>
        <v>1</v>
      </c>
      <c r="D271" s="218">
        <f t="shared" si="3"/>
        <v>0.3183091418</v>
      </c>
      <c r="E271" s="190">
        <f t="shared" si="12"/>
        <v>25.4</v>
      </c>
      <c r="F271" s="122">
        <f t="shared" si="13"/>
        <v>8.085052203</v>
      </c>
      <c r="G271" s="123">
        <f>C271/Introduction!$I$20</f>
        <v>0.01041666667</v>
      </c>
      <c r="H271" s="192">
        <f t="shared" si="6"/>
        <v>0.003315720227</v>
      </c>
      <c r="I271" s="124">
        <f>E271/Introduction!$I$20</f>
        <v>0.2645833333</v>
      </c>
      <c r="J271" s="125">
        <f t="shared" si="7"/>
        <v>0.08421929378</v>
      </c>
      <c r="K271" s="51"/>
      <c r="L271" s="51"/>
      <c r="M271" s="51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  <c r="BV271" s="54"/>
      <c r="BW271" s="54"/>
      <c r="BX271" s="54"/>
      <c r="BY271" s="54"/>
      <c r="BZ271" s="54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</row>
    <row r="272" ht="15.75" customHeight="1">
      <c r="A272" s="51"/>
      <c r="B272" s="310" t="s">
        <v>713</v>
      </c>
      <c r="C272" s="119">
        <f>Standing!$C$81*0.4</f>
        <v>1.309667542</v>
      </c>
      <c r="D272" s="218">
        <f t="shared" si="3"/>
        <v>0.4168791512</v>
      </c>
      <c r="E272" s="190">
        <f t="shared" si="12"/>
        <v>33.26555556</v>
      </c>
      <c r="F272" s="122">
        <f t="shared" si="13"/>
        <v>10.58873044</v>
      </c>
      <c r="G272" s="123">
        <f>C272/Introduction!$I$20</f>
        <v>0.01364237022</v>
      </c>
      <c r="H272" s="192">
        <f t="shared" si="6"/>
        <v>0.004342491159</v>
      </c>
      <c r="I272" s="124">
        <f>E272/Introduction!$I$20</f>
        <v>0.3465162037</v>
      </c>
      <c r="J272" s="125">
        <f t="shared" si="7"/>
        <v>0.1102992754</v>
      </c>
      <c r="K272" s="51"/>
      <c r="L272" s="51"/>
      <c r="M272" s="51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  <c r="BV272" s="54"/>
      <c r="BW272" s="54"/>
      <c r="BX272" s="54"/>
      <c r="BY272" s="54"/>
      <c r="BZ272" s="54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</row>
    <row r="273" ht="15.75" customHeight="1">
      <c r="A273" s="51"/>
      <c r="B273" s="310" t="s">
        <v>714</v>
      </c>
      <c r="C273" s="119">
        <f>Standing!$C$81*0.36</f>
        <v>1.178700787</v>
      </c>
      <c r="D273" s="218">
        <f t="shared" si="3"/>
        <v>0.3751912361</v>
      </c>
      <c r="E273" s="190">
        <f t="shared" si="12"/>
        <v>29.939</v>
      </c>
      <c r="F273" s="122">
        <f t="shared" si="13"/>
        <v>9.529857397</v>
      </c>
      <c r="G273" s="123">
        <f>C273/Introduction!$I$20</f>
        <v>0.0122781332</v>
      </c>
      <c r="H273" s="192">
        <f t="shared" si="6"/>
        <v>0.003908242043</v>
      </c>
      <c r="I273" s="124">
        <f>E273/Introduction!$I$20</f>
        <v>0.3118645833</v>
      </c>
      <c r="J273" s="125">
        <f t="shared" si="7"/>
        <v>0.09926934789</v>
      </c>
      <c r="K273" s="51"/>
      <c r="L273" s="51"/>
      <c r="M273" s="51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  <c r="BV273" s="54"/>
      <c r="BW273" s="54"/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</row>
    <row r="274" ht="15.75" customHeight="1">
      <c r="A274" s="51"/>
      <c r="B274" s="310" t="s">
        <v>715</v>
      </c>
      <c r="C274" s="119">
        <f>IF(Standing!$C$81*0.237&gt;1,Standing!$C$81*0.237,1)</f>
        <v>1</v>
      </c>
      <c r="D274" s="218">
        <f t="shared" si="3"/>
        <v>0.3183091418</v>
      </c>
      <c r="E274" s="190">
        <f t="shared" si="12"/>
        <v>25.4</v>
      </c>
      <c r="F274" s="122">
        <f t="shared" si="13"/>
        <v>8.085052203</v>
      </c>
      <c r="G274" s="123">
        <f>C274/Introduction!$I$20</f>
        <v>0.01041666667</v>
      </c>
      <c r="H274" s="192">
        <f t="shared" si="6"/>
        <v>0.003315720227</v>
      </c>
      <c r="I274" s="124">
        <f>E274/Introduction!$I$20</f>
        <v>0.2645833333</v>
      </c>
      <c r="J274" s="125">
        <f t="shared" si="7"/>
        <v>0.08421929378</v>
      </c>
      <c r="K274" s="51"/>
      <c r="L274" s="51"/>
      <c r="M274" s="51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  <c r="BV274" s="54"/>
      <c r="BW274" s="54"/>
      <c r="BX274" s="54"/>
      <c r="BY274" s="54"/>
      <c r="BZ274" s="54"/>
      <c r="CA274" s="54"/>
      <c r="CB274" s="54"/>
      <c r="CC274" s="54"/>
      <c r="CD274" s="54"/>
      <c r="CE274" s="54"/>
      <c r="CF274" s="54"/>
      <c r="CG274" s="54"/>
      <c r="CH274" s="54"/>
      <c r="CI274" s="54"/>
      <c r="CJ274" s="54"/>
      <c r="CK274" s="54"/>
      <c r="CL274" s="54"/>
      <c r="CM274" s="54"/>
      <c r="CN274" s="54"/>
      <c r="CO274" s="54"/>
      <c r="CP274" s="54"/>
      <c r="CQ274" s="54"/>
      <c r="CR274" s="54"/>
      <c r="CS274" s="54"/>
      <c r="CT274" s="54"/>
      <c r="CU274" s="54"/>
    </row>
    <row r="275" ht="15.75" customHeight="1">
      <c r="A275" s="51"/>
      <c r="B275" s="309" t="s">
        <v>716</v>
      </c>
      <c r="C275" s="119">
        <f>Standing!$C$85*0.75</f>
        <v>1.5</v>
      </c>
      <c r="D275" s="218">
        <f t="shared" si="3"/>
        <v>0.4774637128</v>
      </c>
      <c r="E275" s="190">
        <f t="shared" si="12"/>
        <v>38.1</v>
      </c>
      <c r="F275" s="122">
        <f t="shared" si="13"/>
        <v>12.1275783</v>
      </c>
      <c r="G275" s="123">
        <f>C275/Introduction!$I$20</f>
        <v>0.015625</v>
      </c>
      <c r="H275" s="192">
        <f t="shared" si="6"/>
        <v>0.004973580341</v>
      </c>
      <c r="I275" s="124">
        <f>E275/Introduction!$I$20</f>
        <v>0.396875</v>
      </c>
      <c r="J275" s="125">
        <f t="shared" si="7"/>
        <v>0.1263289407</v>
      </c>
      <c r="K275" s="51"/>
      <c r="L275" s="51"/>
      <c r="M275" s="51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  <c r="CH275" s="54"/>
      <c r="CI275" s="54"/>
      <c r="CJ275" s="54"/>
      <c r="CK275" s="54"/>
      <c r="CL275" s="54"/>
      <c r="CM275" s="54"/>
      <c r="CN275" s="54"/>
      <c r="CO275" s="54"/>
      <c r="CP275" s="54"/>
      <c r="CQ275" s="54"/>
      <c r="CR275" s="54"/>
      <c r="CS275" s="54"/>
      <c r="CT275" s="54"/>
      <c r="CU275" s="54"/>
    </row>
    <row r="276" ht="15.75" customHeight="1">
      <c r="A276" s="51"/>
      <c r="B276" s="310" t="s">
        <v>717</v>
      </c>
      <c r="C276" s="119">
        <f>Standing!$C$85*0.6</f>
        <v>1.2</v>
      </c>
      <c r="D276" s="218">
        <f t="shared" si="3"/>
        <v>0.3819709702</v>
      </c>
      <c r="E276" s="190">
        <f t="shared" si="12"/>
        <v>30.48</v>
      </c>
      <c r="F276" s="122">
        <f t="shared" si="13"/>
        <v>9.702062643</v>
      </c>
      <c r="G276" s="123">
        <f>C276/Introduction!$I$20</f>
        <v>0.0125</v>
      </c>
      <c r="H276" s="192">
        <f t="shared" si="6"/>
        <v>0.003978864273</v>
      </c>
      <c r="I276" s="124">
        <f>E276/Introduction!$I$20</f>
        <v>0.3175</v>
      </c>
      <c r="J276" s="125">
        <f t="shared" si="7"/>
        <v>0.1010631525</v>
      </c>
      <c r="K276" s="51"/>
      <c r="L276" s="51"/>
      <c r="M276" s="51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</row>
    <row r="277" ht="15.75" customHeight="1">
      <c r="A277" s="51"/>
      <c r="B277" s="310" t="s">
        <v>718</v>
      </c>
      <c r="C277" s="119">
        <f>Standing!$C$85*0.6</f>
        <v>1.2</v>
      </c>
      <c r="D277" s="218">
        <f t="shared" si="3"/>
        <v>0.3819709702</v>
      </c>
      <c r="E277" s="190">
        <f t="shared" si="12"/>
        <v>30.48</v>
      </c>
      <c r="F277" s="122">
        <f t="shared" si="13"/>
        <v>9.702062643</v>
      </c>
      <c r="G277" s="123">
        <f>C277/Introduction!$I$20</f>
        <v>0.0125</v>
      </c>
      <c r="H277" s="192">
        <f t="shared" si="6"/>
        <v>0.003978864273</v>
      </c>
      <c r="I277" s="124">
        <f>E277/Introduction!$I$20</f>
        <v>0.3175</v>
      </c>
      <c r="J277" s="125">
        <f t="shared" si="7"/>
        <v>0.1010631525</v>
      </c>
      <c r="K277" s="51"/>
      <c r="L277" s="51"/>
      <c r="M277" s="51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</row>
    <row r="278" ht="15.75" customHeight="1">
      <c r="A278" s="51"/>
      <c r="B278" s="310" t="s">
        <v>719</v>
      </c>
      <c r="C278" s="119">
        <f>Standing!$C$85*0.5</f>
        <v>1</v>
      </c>
      <c r="D278" s="218">
        <f t="shared" si="3"/>
        <v>0.3183091418</v>
      </c>
      <c r="E278" s="190">
        <f t="shared" si="12"/>
        <v>25.4</v>
      </c>
      <c r="F278" s="122">
        <f t="shared" si="13"/>
        <v>8.085052203</v>
      </c>
      <c r="G278" s="123">
        <f>C278/Introduction!$I$20</f>
        <v>0.01041666667</v>
      </c>
      <c r="H278" s="192">
        <f t="shared" si="6"/>
        <v>0.003315720227</v>
      </c>
      <c r="I278" s="124">
        <f>E278/Introduction!$I$20</f>
        <v>0.2645833333</v>
      </c>
      <c r="J278" s="125">
        <f t="shared" si="7"/>
        <v>0.08421929378</v>
      </c>
      <c r="K278" s="51"/>
      <c r="L278" s="51"/>
      <c r="M278" s="51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</row>
    <row r="279" ht="15.75" customHeight="1">
      <c r="A279" s="51"/>
      <c r="B279" s="310" t="s">
        <v>720</v>
      </c>
      <c r="C279" s="119">
        <f>IF(Standing!$C$85*0.45&gt;1,Standing!$C$85*0.45,1)</f>
        <v>1</v>
      </c>
      <c r="D279" s="218">
        <f t="shared" si="3"/>
        <v>0.3183091418</v>
      </c>
      <c r="E279" s="190">
        <f t="shared" si="12"/>
        <v>25.4</v>
      </c>
      <c r="F279" s="122">
        <f t="shared" si="13"/>
        <v>8.085052203</v>
      </c>
      <c r="G279" s="123">
        <f>C279/Introduction!$I$20</f>
        <v>0.01041666667</v>
      </c>
      <c r="H279" s="192">
        <f t="shared" si="6"/>
        <v>0.003315720227</v>
      </c>
      <c r="I279" s="124">
        <f>E279/Introduction!$I$20</f>
        <v>0.2645833333</v>
      </c>
      <c r="J279" s="125">
        <f t="shared" si="7"/>
        <v>0.08421929378</v>
      </c>
      <c r="K279" s="51"/>
      <c r="L279" s="51"/>
      <c r="M279" s="51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</row>
    <row r="280" ht="15.75" customHeight="1">
      <c r="A280" s="51"/>
      <c r="B280" s="309" t="s">
        <v>721</v>
      </c>
      <c r="C280" s="119">
        <f>Standing!$C$86*0.6</f>
        <v>1.2</v>
      </c>
      <c r="D280" s="218">
        <f t="shared" si="3"/>
        <v>0.3819709702</v>
      </c>
      <c r="E280" s="190">
        <f t="shared" si="12"/>
        <v>30.48</v>
      </c>
      <c r="F280" s="122">
        <f t="shared" si="13"/>
        <v>9.702062643</v>
      </c>
      <c r="G280" s="123">
        <f>C280/Introduction!$I$20</f>
        <v>0.0125</v>
      </c>
      <c r="H280" s="192">
        <f t="shared" si="6"/>
        <v>0.003978864273</v>
      </c>
      <c r="I280" s="124">
        <f>E280/Introduction!$I$20</f>
        <v>0.3175</v>
      </c>
      <c r="J280" s="125">
        <f t="shared" si="7"/>
        <v>0.1010631525</v>
      </c>
      <c r="K280" s="51"/>
      <c r="L280" s="51"/>
      <c r="M280" s="51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</row>
    <row r="281" ht="15.75" customHeight="1">
      <c r="A281" s="51"/>
      <c r="B281" s="310" t="s">
        <v>722</v>
      </c>
      <c r="C281" s="119">
        <f>Standing!$C$86*0.6</f>
        <v>1.2</v>
      </c>
      <c r="D281" s="218">
        <f t="shared" si="3"/>
        <v>0.3819709702</v>
      </c>
      <c r="E281" s="190">
        <f t="shared" si="12"/>
        <v>30.48</v>
      </c>
      <c r="F281" s="122">
        <f t="shared" si="13"/>
        <v>9.702062643</v>
      </c>
      <c r="G281" s="123">
        <f>C281/Introduction!$I$20</f>
        <v>0.0125</v>
      </c>
      <c r="H281" s="192">
        <f t="shared" si="6"/>
        <v>0.003978864273</v>
      </c>
      <c r="I281" s="124">
        <f>E281/Introduction!$I$20</f>
        <v>0.3175</v>
      </c>
      <c r="J281" s="125">
        <f t="shared" si="7"/>
        <v>0.1010631525</v>
      </c>
      <c r="K281" s="51"/>
      <c r="L281" s="51"/>
      <c r="M281" s="51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  <c r="CH281" s="54"/>
      <c r="CI281" s="54"/>
      <c r="CJ281" s="54"/>
      <c r="CK281" s="54"/>
      <c r="CL281" s="54"/>
      <c r="CM281" s="54"/>
      <c r="CN281" s="54"/>
      <c r="CO281" s="54"/>
      <c r="CP281" s="54"/>
      <c r="CQ281" s="54"/>
      <c r="CR281" s="54"/>
      <c r="CS281" s="54"/>
      <c r="CT281" s="54"/>
      <c r="CU281" s="54"/>
    </row>
    <row r="282" ht="15.75" customHeight="1">
      <c r="A282" s="51"/>
      <c r="B282" s="310" t="s">
        <v>723</v>
      </c>
      <c r="C282" s="119">
        <f>Standing!$C$86*0.5</f>
        <v>1</v>
      </c>
      <c r="D282" s="218">
        <f t="shared" si="3"/>
        <v>0.3183091418</v>
      </c>
      <c r="E282" s="190">
        <f t="shared" si="12"/>
        <v>25.4</v>
      </c>
      <c r="F282" s="122">
        <f t="shared" si="13"/>
        <v>8.085052203</v>
      </c>
      <c r="G282" s="123">
        <f>C282/Introduction!$I$20</f>
        <v>0.01041666667</v>
      </c>
      <c r="H282" s="192">
        <f t="shared" si="6"/>
        <v>0.003315720227</v>
      </c>
      <c r="I282" s="124">
        <f>E282/Introduction!$I$20</f>
        <v>0.2645833333</v>
      </c>
      <c r="J282" s="125">
        <f t="shared" si="7"/>
        <v>0.08421929378</v>
      </c>
      <c r="K282" s="51"/>
      <c r="L282" s="51"/>
      <c r="M282" s="51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54"/>
      <c r="CA282" s="54"/>
      <c r="CB282" s="54"/>
      <c r="CC282" s="54"/>
      <c r="CD282" s="54"/>
      <c r="CE282" s="54"/>
      <c r="CF282" s="54"/>
      <c r="CG282" s="54"/>
      <c r="CH282" s="54"/>
      <c r="CI282" s="54"/>
      <c r="CJ282" s="54"/>
      <c r="CK282" s="54"/>
      <c r="CL282" s="54"/>
      <c r="CM282" s="54"/>
      <c r="CN282" s="54"/>
      <c r="CO282" s="54"/>
      <c r="CP282" s="54"/>
      <c r="CQ282" s="54"/>
      <c r="CR282" s="54"/>
      <c r="CS282" s="54"/>
      <c r="CT282" s="54"/>
      <c r="CU282" s="54"/>
    </row>
    <row r="283" ht="15.75" customHeight="1">
      <c r="A283" s="51"/>
      <c r="B283" s="309" t="s">
        <v>724</v>
      </c>
      <c r="C283" s="119">
        <f>Standing!$C$126*0.66</f>
        <v>2.446629224</v>
      </c>
      <c r="D283" s="218">
        <f t="shared" si="3"/>
        <v>0.7787844488</v>
      </c>
      <c r="E283" s="190">
        <f t="shared" si="12"/>
        <v>62.1443823</v>
      </c>
      <c r="F283" s="122">
        <f t="shared" si="13"/>
        <v>19.781125</v>
      </c>
      <c r="G283" s="123">
        <f>C283/Introduction!$I$20</f>
        <v>0.02548572109</v>
      </c>
      <c r="H283" s="192">
        <f t="shared" si="6"/>
        <v>0.008112338008</v>
      </c>
      <c r="I283" s="124">
        <f>E283/Introduction!$I$20</f>
        <v>0.6473373156</v>
      </c>
      <c r="J283" s="125">
        <f t="shared" si="7"/>
        <v>0.2060533854</v>
      </c>
      <c r="K283" s="51"/>
      <c r="L283" s="51"/>
      <c r="M283" s="51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</row>
    <row r="284" ht="15.75" customHeight="1">
      <c r="A284" s="51"/>
      <c r="B284" s="310" t="s">
        <v>725</v>
      </c>
      <c r="C284" s="119">
        <f>Standing!$C$126*0.5</f>
        <v>1.853506988</v>
      </c>
      <c r="D284" s="218">
        <f t="shared" si="3"/>
        <v>0.5899882188</v>
      </c>
      <c r="E284" s="190">
        <f t="shared" si="12"/>
        <v>47.0790775</v>
      </c>
      <c r="F284" s="122">
        <f t="shared" si="13"/>
        <v>14.98570076</v>
      </c>
      <c r="G284" s="123">
        <f>C284/Introduction!$I$20</f>
        <v>0.01930736446</v>
      </c>
      <c r="H284" s="192">
        <f t="shared" si="6"/>
        <v>0.006145710612</v>
      </c>
      <c r="I284" s="124">
        <f>E284/Introduction!$I$20</f>
        <v>0.4904070573</v>
      </c>
      <c r="J284" s="125">
        <f t="shared" si="7"/>
        <v>0.1561010496</v>
      </c>
      <c r="K284" s="51"/>
      <c r="L284" s="51"/>
      <c r="M284" s="51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</row>
    <row r="285" ht="15.75" customHeight="1">
      <c r="A285" s="51"/>
      <c r="B285" s="310" t="s">
        <v>726</v>
      </c>
      <c r="C285" s="119">
        <f>Standing!$C$75*0.25</f>
        <v>1.637084427</v>
      </c>
      <c r="D285" s="218">
        <f t="shared" si="3"/>
        <v>0.5210989391</v>
      </c>
      <c r="E285" s="190">
        <f t="shared" si="12"/>
        <v>41.58194444</v>
      </c>
      <c r="F285" s="122">
        <f t="shared" si="13"/>
        <v>13.23591305</v>
      </c>
      <c r="G285" s="123">
        <f>C285/Introduction!$I$20</f>
        <v>0.01705296278</v>
      </c>
      <c r="H285" s="192">
        <f t="shared" si="6"/>
        <v>0.005428113949</v>
      </c>
      <c r="I285" s="124">
        <f>E285/Introduction!$I$20</f>
        <v>0.4331452546</v>
      </c>
      <c r="J285" s="125">
        <f t="shared" si="7"/>
        <v>0.1378740943</v>
      </c>
      <c r="K285" s="51"/>
      <c r="L285" s="51"/>
      <c r="M285" s="51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</row>
    <row r="286" ht="15.75" customHeight="1">
      <c r="A286" s="51"/>
      <c r="B286" s="310" t="s">
        <v>727</v>
      </c>
      <c r="C286" s="119">
        <f>Standing!$C$75*0.25</f>
        <v>1.637084427</v>
      </c>
      <c r="D286" s="218">
        <f t="shared" si="3"/>
        <v>0.5210989391</v>
      </c>
      <c r="E286" s="190">
        <f t="shared" si="12"/>
        <v>41.58194444</v>
      </c>
      <c r="F286" s="122">
        <f t="shared" si="13"/>
        <v>13.23591305</v>
      </c>
      <c r="G286" s="123">
        <f>C286/Introduction!$I$20</f>
        <v>0.01705296278</v>
      </c>
      <c r="H286" s="192">
        <f t="shared" si="6"/>
        <v>0.005428113949</v>
      </c>
      <c r="I286" s="124">
        <f>E286/Introduction!$I$20</f>
        <v>0.4331452546</v>
      </c>
      <c r="J286" s="125">
        <f t="shared" si="7"/>
        <v>0.1378740943</v>
      </c>
      <c r="K286" s="51"/>
      <c r="L286" s="51"/>
      <c r="M286" s="51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  <c r="BV286" s="54"/>
      <c r="BW286" s="54"/>
      <c r="BX286" s="54"/>
      <c r="BY286" s="54"/>
      <c r="BZ286" s="54"/>
      <c r="CA286" s="54"/>
      <c r="CB286" s="54"/>
      <c r="CC286" s="54"/>
      <c r="CD286" s="54"/>
      <c r="CE286" s="54"/>
      <c r="CF286" s="54"/>
      <c r="CG286" s="54"/>
      <c r="CH286" s="54"/>
      <c r="CI286" s="54"/>
      <c r="CJ286" s="54"/>
      <c r="CK286" s="54"/>
      <c r="CL286" s="54"/>
      <c r="CM286" s="54"/>
      <c r="CN286" s="54"/>
      <c r="CO286" s="54"/>
      <c r="CP286" s="54"/>
      <c r="CQ286" s="54"/>
      <c r="CR286" s="54"/>
      <c r="CS286" s="54"/>
      <c r="CT286" s="54"/>
      <c r="CU286" s="54"/>
    </row>
    <row r="287" ht="15.75" customHeight="1">
      <c r="A287" s="51"/>
      <c r="B287" s="310" t="s">
        <v>728</v>
      </c>
      <c r="C287" s="119">
        <f>Standing!$C$75*0.2</f>
        <v>1.309667542</v>
      </c>
      <c r="D287" s="218">
        <f t="shared" si="3"/>
        <v>0.4168791512</v>
      </c>
      <c r="E287" s="190">
        <f t="shared" si="12"/>
        <v>33.26555556</v>
      </c>
      <c r="F287" s="122">
        <f t="shared" si="13"/>
        <v>10.58873044</v>
      </c>
      <c r="G287" s="123">
        <f>C287/Introduction!$I$20</f>
        <v>0.01364237022</v>
      </c>
      <c r="H287" s="192">
        <f t="shared" si="6"/>
        <v>0.004342491159</v>
      </c>
      <c r="I287" s="124">
        <f>E287/Introduction!$I$20</f>
        <v>0.3465162037</v>
      </c>
      <c r="J287" s="125">
        <f t="shared" si="7"/>
        <v>0.1102992754</v>
      </c>
      <c r="K287" s="51"/>
      <c r="L287" s="51"/>
      <c r="M287" s="51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  <c r="BV287" s="54"/>
      <c r="BW287" s="54"/>
      <c r="BX287" s="54"/>
      <c r="BY287" s="54"/>
      <c r="BZ287" s="54"/>
      <c r="CA287" s="54"/>
      <c r="CB287" s="54"/>
      <c r="CC287" s="54"/>
      <c r="CD287" s="54"/>
      <c r="CE287" s="54"/>
      <c r="CF287" s="54"/>
      <c r="CG287" s="54"/>
      <c r="CH287" s="54"/>
      <c r="CI287" s="54"/>
      <c r="CJ287" s="54"/>
      <c r="CK287" s="54"/>
      <c r="CL287" s="54"/>
      <c r="CM287" s="54"/>
      <c r="CN287" s="54"/>
      <c r="CO287" s="54"/>
      <c r="CP287" s="54"/>
      <c r="CQ287" s="54"/>
      <c r="CR287" s="54"/>
      <c r="CS287" s="54"/>
      <c r="CT287" s="54"/>
      <c r="CU287" s="54"/>
    </row>
    <row r="288" ht="15.75" customHeight="1">
      <c r="A288" s="51"/>
      <c r="B288" s="310" t="s">
        <v>611</v>
      </c>
      <c r="C288" s="119">
        <f>Standing!$C$126*0.3</f>
        <v>1.112104193</v>
      </c>
      <c r="D288" s="218">
        <f t="shared" si="3"/>
        <v>0.3539929313</v>
      </c>
      <c r="E288" s="190">
        <f t="shared" si="12"/>
        <v>28.2474465</v>
      </c>
      <c r="F288" s="122">
        <f t="shared" si="13"/>
        <v>8.991420455</v>
      </c>
      <c r="G288" s="123">
        <f>C288/Introduction!$I$20</f>
        <v>0.01158441868</v>
      </c>
      <c r="H288" s="192">
        <f t="shared" si="6"/>
        <v>0.003687426367</v>
      </c>
      <c r="I288" s="124">
        <f>E288/Introduction!$I$20</f>
        <v>0.2942442344</v>
      </c>
      <c r="J288" s="125">
        <f t="shared" si="7"/>
        <v>0.09366062973</v>
      </c>
      <c r="K288" s="51"/>
      <c r="L288" s="51"/>
      <c r="M288" s="51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  <c r="BV288" s="54"/>
      <c r="BW288" s="54"/>
      <c r="BX288" s="54"/>
      <c r="BY288" s="54"/>
      <c r="BZ288" s="54"/>
      <c r="CA288" s="54"/>
      <c r="CB288" s="54"/>
      <c r="CC288" s="54"/>
      <c r="CD288" s="54"/>
      <c r="CE288" s="54"/>
      <c r="CF288" s="54"/>
      <c r="CG288" s="54"/>
      <c r="CH288" s="54"/>
      <c r="CI288" s="54"/>
      <c r="CJ288" s="54"/>
      <c r="CK288" s="54"/>
      <c r="CL288" s="54"/>
      <c r="CM288" s="54"/>
      <c r="CN288" s="54"/>
      <c r="CO288" s="54"/>
      <c r="CP288" s="54"/>
      <c r="CQ288" s="54"/>
      <c r="CR288" s="54"/>
      <c r="CS288" s="54"/>
      <c r="CT288" s="54"/>
      <c r="CU288" s="54"/>
    </row>
    <row r="289" ht="15.75" customHeight="1">
      <c r="A289" s="51"/>
      <c r="B289" s="310" t="s">
        <v>612</v>
      </c>
      <c r="C289" s="119">
        <f>Standing!$C$126*0.33</f>
        <v>1.223314612</v>
      </c>
      <c r="D289" s="218">
        <f t="shared" si="3"/>
        <v>0.3893922244</v>
      </c>
      <c r="E289" s="190">
        <f t="shared" si="12"/>
        <v>31.07219115</v>
      </c>
      <c r="F289" s="122">
        <f t="shared" si="13"/>
        <v>9.8905625</v>
      </c>
      <c r="G289" s="123">
        <f>C289/Introduction!$I$20</f>
        <v>0.01274286054</v>
      </c>
      <c r="H289" s="192">
        <f t="shared" si="6"/>
        <v>0.004056169004</v>
      </c>
      <c r="I289" s="124">
        <f>E289/Introduction!$I$20</f>
        <v>0.3236686578</v>
      </c>
      <c r="J289" s="125">
        <f t="shared" si="7"/>
        <v>0.1030266927</v>
      </c>
      <c r="K289" s="51"/>
      <c r="L289" s="51"/>
      <c r="M289" s="51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  <c r="BV289" s="54"/>
      <c r="BW289" s="54"/>
      <c r="BX289" s="54"/>
      <c r="BY289" s="54"/>
      <c r="BZ289" s="54"/>
      <c r="CA289" s="54"/>
      <c r="CB289" s="54"/>
      <c r="CC289" s="54"/>
      <c r="CD289" s="54"/>
      <c r="CE289" s="54"/>
      <c r="CF289" s="54"/>
      <c r="CG289" s="54"/>
      <c r="CH289" s="54"/>
      <c r="CI289" s="54"/>
      <c r="CJ289" s="54"/>
      <c r="CK289" s="54"/>
      <c r="CL289" s="54"/>
      <c r="CM289" s="54"/>
      <c r="CN289" s="54"/>
      <c r="CO289" s="54"/>
      <c r="CP289" s="54"/>
      <c r="CQ289" s="54"/>
      <c r="CR289" s="54"/>
      <c r="CS289" s="54"/>
      <c r="CT289" s="54"/>
      <c r="CU289" s="54"/>
    </row>
    <row r="290" ht="15.75" customHeight="1">
      <c r="A290" s="51"/>
      <c r="B290" s="310" t="s">
        <v>729</v>
      </c>
      <c r="C290" s="119">
        <f>Standing!$C$126*0.33</f>
        <v>1.223314612</v>
      </c>
      <c r="D290" s="218">
        <f t="shared" si="3"/>
        <v>0.3893922244</v>
      </c>
      <c r="E290" s="190">
        <f t="shared" si="12"/>
        <v>31.07219115</v>
      </c>
      <c r="F290" s="122">
        <f t="shared" si="13"/>
        <v>9.8905625</v>
      </c>
      <c r="G290" s="123">
        <f>C290/Introduction!$I$20</f>
        <v>0.01274286054</v>
      </c>
      <c r="H290" s="192">
        <f t="shared" si="6"/>
        <v>0.004056169004</v>
      </c>
      <c r="I290" s="124">
        <f>E290/Introduction!$I$20</f>
        <v>0.3236686578</v>
      </c>
      <c r="J290" s="125">
        <f t="shared" si="7"/>
        <v>0.1030266927</v>
      </c>
      <c r="K290" s="51"/>
      <c r="L290" s="51"/>
      <c r="M290" s="51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  <c r="BV290" s="54"/>
      <c r="BW290" s="54"/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  <c r="CH290" s="54"/>
      <c r="CI290" s="54"/>
      <c r="CJ290" s="54"/>
      <c r="CK290" s="54"/>
      <c r="CL290" s="54"/>
      <c r="CM290" s="54"/>
      <c r="CN290" s="54"/>
      <c r="CO290" s="54"/>
      <c r="CP290" s="54"/>
      <c r="CQ290" s="54"/>
      <c r="CR290" s="54"/>
      <c r="CS290" s="54"/>
      <c r="CT290" s="54"/>
      <c r="CU290" s="54"/>
    </row>
    <row r="291" ht="15.75" customHeight="1">
      <c r="A291" s="51"/>
      <c r="B291" s="310" t="s">
        <v>730</v>
      </c>
      <c r="C291" s="119">
        <f>Standing!$C$126*0.5</f>
        <v>1.853506988</v>
      </c>
      <c r="D291" s="218">
        <f t="shared" si="3"/>
        <v>0.5899882188</v>
      </c>
      <c r="E291" s="190">
        <f t="shared" si="12"/>
        <v>47.0790775</v>
      </c>
      <c r="F291" s="122">
        <f t="shared" si="13"/>
        <v>14.98570076</v>
      </c>
      <c r="G291" s="123">
        <f>C291/Introduction!$I$20</f>
        <v>0.01930736446</v>
      </c>
      <c r="H291" s="192">
        <f t="shared" si="6"/>
        <v>0.006145710612</v>
      </c>
      <c r="I291" s="124">
        <f>E291/Introduction!$I$20</f>
        <v>0.4904070573</v>
      </c>
      <c r="J291" s="125">
        <f t="shared" si="7"/>
        <v>0.1561010496</v>
      </c>
      <c r="K291" s="51"/>
      <c r="L291" s="51"/>
      <c r="M291" s="51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  <c r="BV291" s="54"/>
      <c r="BW291" s="54"/>
      <c r="BX291" s="54"/>
      <c r="BY291" s="54"/>
      <c r="BZ291" s="54"/>
      <c r="CA291" s="54"/>
      <c r="CB291" s="54"/>
      <c r="CC291" s="54"/>
      <c r="CD291" s="54"/>
      <c r="CE291" s="54"/>
      <c r="CF291" s="54"/>
      <c r="CG291" s="54"/>
      <c r="CH291" s="54"/>
      <c r="CI291" s="54"/>
      <c r="CJ291" s="54"/>
      <c r="CK291" s="54"/>
      <c r="CL291" s="54"/>
      <c r="CM291" s="54"/>
      <c r="CN291" s="54"/>
      <c r="CO291" s="54"/>
      <c r="CP291" s="54"/>
      <c r="CQ291" s="54"/>
      <c r="CR291" s="54"/>
      <c r="CS291" s="54"/>
      <c r="CT291" s="54"/>
      <c r="CU291" s="54"/>
    </row>
    <row r="292" ht="15.75" customHeight="1">
      <c r="A292" s="51"/>
      <c r="B292" s="313" t="s">
        <v>731</v>
      </c>
      <c r="C292" s="189">
        <f>Standing!$C$126*0.3</f>
        <v>1.112104193</v>
      </c>
      <c r="D292" s="218">
        <f t="shared" si="3"/>
        <v>0.3539929313</v>
      </c>
      <c r="E292" s="190">
        <f t="shared" si="12"/>
        <v>28.2474465</v>
      </c>
      <c r="F292" s="122">
        <f t="shared" si="13"/>
        <v>8.991420455</v>
      </c>
      <c r="G292" s="123">
        <f>C292/Introduction!$I$20</f>
        <v>0.01158441868</v>
      </c>
      <c r="H292" s="192">
        <f t="shared" si="6"/>
        <v>0.003687426367</v>
      </c>
      <c r="I292" s="124">
        <f>E292/Introduction!$I$20</f>
        <v>0.2942442344</v>
      </c>
      <c r="J292" s="125">
        <f t="shared" si="7"/>
        <v>0.09366062973</v>
      </c>
      <c r="K292" s="51"/>
      <c r="L292" s="51"/>
      <c r="M292" s="51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  <c r="BV292" s="54"/>
      <c r="BW292" s="54"/>
      <c r="BX292" s="54"/>
      <c r="BY292" s="54"/>
      <c r="BZ292" s="54"/>
      <c r="CA292" s="54"/>
      <c r="CB292" s="54"/>
      <c r="CC292" s="54"/>
      <c r="CD292" s="54"/>
      <c r="CE292" s="54"/>
      <c r="CF292" s="54"/>
      <c r="CG292" s="54"/>
      <c r="CH292" s="54"/>
      <c r="CI292" s="54"/>
      <c r="CJ292" s="54"/>
      <c r="CK292" s="54"/>
      <c r="CL292" s="54"/>
      <c r="CM292" s="54"/>
      <c r="CN292" s="54"/>
      <c r="CO292" s="54"/>
      <c r="CP292" s="54"/>
      <c r="CQ292" s="54"/>
      <c r="CR292" s="54"/>
      <c r="CS292" s="54"/>
      <c r="CT292" s="54"/>
      <c r="CU292" s="54"/>
    </row>
    <row r="293" ht="15.75" customHeight="1">
      <c r="A293" s="51"/>
      <c r="B293" s="314" t="s">
        <v>732</v>
      </c>
      <c r="C293" s="185">
        <f>Standing!$C$126*0.3</f>
        <v>1.112104193</v>
      </c>
      <c r="D293" s="128">
        <f t="shared" si="3"/>
        <v>0.3539929313</v>
      </c>
      <c r="E293" s="248">
        <f t="shared" si="12"/>
        <v>28.2474465</v>
      </c>
      <c r="F293" s="130">
        <f t="shared" si="13"/>
        <v>8.991420455</v>
      </c>
      <c r="G293" s="131">
        <f>C293/Introduction!$I$20</f>
        <v>0.01158441868</v>
      </c>
      <c r="H293" s="187">
        <f t="shared" si="6"/>
        <v>0.003687426367</v>
      </c>
      <c r="I293" s="133">
        <f>E293/Introduction!$I$20</f>
        <v>0.2942442344</v>
      </c>
      <c r="J293" s="135">
        <f t="shared" si="7"/>
        <v>0.09366062973</v>
      </c>
      <c r="K293" s="51"/>
      <c r="L293" s="51"/>
      <c r="M293" s="51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  <c r="BV293" s="54"/>
      <c r="BW293" s="54"/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  <c r="CH293" s="54"/>
      <c r="CI293" s="54"/>
      <c r="CJ293" s="54"/>
      <c r="CK293" s="54"/>
      <c r="CL293" s="54"/>
      <c r="CM293" s="54"/>
      <c r="CN293" s="54"/>
      <c r="CO293" s="54"/>
      <c r="CP293" s="54"/>
      <c r="CQ293" s="54"/>
      <c r="CR293" s="54"/>
      <c r="CS293" s="54"/>
      <c r="CT293" s="54"/>
      <c r="CU293" s="54"/>
    </row>
    <row r="294" ht="15.75" customHeight="1">
      <c r="A294" s="51"/>
      <c r="B294" s="315" t="s">
        <v>733</v>
      </c>
      <c r="C294" s="179">
        <f>BW136</f>
        <v>2.446629224</v>
      </c>
      <c r="D294" s="218">
        <f t="shared" si="3"/>
        <v>0.7787844488</v>
      </c>
      <c r="E294" s="190">
        <f t="shared" si="12"/>
        <v>62.1443823</v>
      </c>
      <c r="F294" s="122">
        <f t="shared" si="13"/>
        <v>19.781125</v>
      </c>
      <c r="G294" s="123">
        <f>C294/Introduction!$I$20</f>
        <v>0.02548572109</v>
      </c>
      <c r="H294" s="192">
        <f t="shared" si="6"/>
        <v>0.008112338008</v>
      </c>
      <c r="I294" s="124">
        <f>E294/Introduction!$I$20</f>
        <v>0.6473373156</v>
      </c>
      <c r="J294" s="125">
        <f t="shared" si="7"/>
        <v>0.2060533854</v>
      </c>
      <c r="K294" s="51"/>
      <c r="L294" s="51"/>
      <c r="M294" s="51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  <c r="BV294" s="54"/>
      <c r="BW294" s="54"/>
      <c r="BX294" s="54"/>
      <c r="BY294" s="54"/>
      <c r="BZ294" s="54"/>
      <c r="CA294" s="54"/>
      <c r="CB294" s="54"/>
      <c r="CC294" s="54"/>
      <c r="CD294" s="54"/>
      <c r="CE294" s="54"/>
      <c r="CF294" s="54"/>
      <c r="CG294" s="54"/>
      <c r="CH294" s="54"/>
      <c r="CI294" s="54"/>
      <c r="CJ294" s="54"/>
      <c r="CK294" s="54"/>
      <c r="CL294" s="54"/>
      <c r="CM294" s="54"/>
      <c r="CN294" s="54"/>
      <c r="CO294" s="54"/>
      <c r="CP294" s="54"/>
      <c r="CQ294" s="54"/>
      <c r="CR294" s="54"/>
      <c r="CS294" s="54"/>
      <c r="CT294" s="54"/>
      <c r="CU294" s="54"/>
    </row>
    <row r="295" ht="15.75" customHeight="1">
      <c r="A295" s="51"/>
      <c r="B295" s="316" t="s">
        <v>734</v>
      </c>
      <c r="C295" s="189">
        <f>Standing!$C$126*0.6</f>
        <v>2.224208386</v>
      </c>
      <c r="D295" s="218">
        <f t="shared" si="3"/>
        <v>0.7079858626</v>
      </c>
      <c r="E295" s="190">
        <f t="shared" si="12"/>
        <v>56.494893</v>
      </c>
      <c r="F295" s="122">
        <f t="shared" si="13"/>
        <v>17.98284091</v>
      </c>
      <c r="G295" s="123">
        <f>C295/Introduction!$I$20</f>
        <v>0.02316883735</v>
      </c>
      <c r="H295" s="192">
        <f t="shared" si="6"/>
        <v>0.007374852735</v>
      </c>
      <c r="I295" s="124">
        <f>E295/Introduction!$I$20</f>
        <v>0.5884884687</v>
      </c>
      <c r="J295" s="125">
        <f t="shared" si="7"/>
        <v>0.1873212595</v>
      </c>
      <c r="K295" s="51"/>
      <c r="L295" s="51"/>
      <c r="M295" s="51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  <c r="BV295" s="54"/>
      <c r="BW295" s="54"/>
      <c r="BX295" s="54"/>
      <c r="BY295" s="54"/>
      <c r="BZ295" s="54"/>
      <c r="CA295" s="54"/>
      <c r="CB295" s="54"/>
      <c r="CC295" s="54"/>
      <c r="CD295" s="54"/>
      <c r="CE295" s="54"/>
      <c r="CF295" s="54"/>
      <c r="CG295" s="54"/>
      <c r="CH295" s="54"/>
      <c r="CI295" s="54"/>
      <c r="CJ295" s="54"/>
      <c r="CK295" s="54"/>
      <c r="CL295" s="54"/>
      <c r="CM295" s="54"/>
      <c r="CN295" s="54"/>
      <c r="CO295" s="54"/>
      <c r="CP295" s="54"/>
      <c r="CQ295" s="54"/>
      <c r="CR295" s="54"/>
      <c r="CS295" s="54"/>
      <c r="CT295" s="54"/>
      <c r="CU295" s="54"/>
    </row>
    <row r="296" ht="15.75" customHeight="1">
      <c r="A296" s="51"/>
      <c r="B296" s="316" t="s">
        <v>285</v>
      </c>
      <c r="C296" s="189">
        <f>Standing!$C$126*0.5</f>
        <v>1.853506988</v>
      </c>
      <c r="D296" s="218">
        <f t="shared" si="3"/>
        <v>0.5899882188</v>
      </c>
      <c r="E296" s="190">
        <f t="shared" si="12"/>
        <v>47.0790775</v>
      </c>
      <c r="F296" s="122">
        <f t="shared" si="13"/>
        <v>14.98570076</v>
      </c>
      <c r="G296" s="123">
        <f>C296/Introduction!$I$20</f>
        <v>0.01930736446</v>
      </c>
      <c r="H296" s="192">
        <f t="shared" si="6"/>
        <v>0.006145710612</v>
      </c>
      <c r="I296" s="124">
        <f>E296/Introduction!$I$20</f>
        <v>0.4904070573</v>
      </c>
      <c r="J296" s="125">
        <f t="shared" si="7"/>
        <v>0.1561010496</v>
      </c>
      <c r="K296" s="51"/>
      <c r="L296" s="51"/>
      <c r="M296" s="51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  <c r="BV296" s="54"/>
      <c r="BW296" s="54"/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  <c r="CH296" s="54"/>
      <c r="CI296" s="54"/>
      <c r="CJ296" s="54"/>
      <c r="CK296" s="54"/>
      <c r="CL296" s="54"/>
      <c r="CM296" s="54"/>
      <c r="CN296" s="54"/>
      <c r="CO296" s="54"/>
      <c r="CP296" s="54"/>
      <c r="CQ296" s="54"/>
      <c r="CR296" s="54"/>
      <c r="CS296" s="54"/>
      <c r="CT296" s="54"/>
      <c r="CU296" s="54"/>
    </row>
    <row r="297" ht="15.75" customHeight="1">
      <c r="A297" s="51"/>
      <c r="B297" s="316" t="s">
        <v>735</v>
      </c>
      <c r="C297" s="189">
        <f>BX136</f>
        <v>2.446629224</v>
      </c>
      <c r="D297" s="218">
        <f t="shared" si="3"/>
        <v>0.7787844488</v>
      </c>
      <c r="E297" s="190">
        <f t="shared" si="12"/>
        <v>62.1443823</v>
      </c>
      <c r="F297" s="122">
        <f t="shared" si="13"/>
        <v>19.781125</v>
      </c>
      <c r="G297" s="123">
        <f>C297/Introduction!$I$20</f>
        <v>0.02548572109</v>
      </c>
      <c r="H297" s="192">
        <f t="shared" si="6"/>
        <v>0.008112338008</v>
      </c>
      <c r="I297" s="124">
        <f>E297/Introduction!$I$20</f>
        <v>0.6473373156</v>
      </c>
      <c r="J297" s="125">
        <f t="shared" si="7"/>
        <v>0.2060533854</v>
      </c>
      <c r="K297" s="51"/>
      <c r="L297" s="51"/>
      <c r="M297" s="51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  <c r="BV297" s="54"/>
      <c r="BW297" s="54"/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  <c r="CH297" s="54"/>
      <c r="CI297" s="54"/>
      <c r="CJ297" s="54"/>
      <c r="CK297" s="54"/>
      <c r="CL297" s="54"/>
      <c r="CM297" s="54"/>
      <c r="CN297" s="54"/>
      <c r="CO297" s="54"/>
      <c r="CP297" s="54"/>
      <c r="CQ297" s="54"/>
      <c r="CR297" s="54"/>
      <c r="CS297" s="54"/>
      <c r="CT297" s="54"/>
      <c r="CU297" s="54"/>
    </row>
    <row r="298" ht="15.75" customHeight="1">
      <c r="A298" s="51"/>
      <c r="B298" s="316" t="s">
        <v>736</v>
      </c>
      <c r="C298" s="189">
        <f>C297*0.66</f>
        <v>1.614775288</v>
      </c>
      <c r="D298" s="218">
        <f t="shared" si="3"/>
        <v>0.5139977362</v>
      </c>
      <c r="E298" s="190">
        <f t="shared" si="12"/>
        <v>41.01529232</v>
      </c>
      <c r="F298" s="122">
        <f t="shared" si="13"/>
        <v>13.0555425</v>
      </c>
      <c r="G298" s="123">
        <f>C298/Introduction!$I$20</f>
        <v>0.01682057592</v>
      </c>
      <c r="H298" s="192">
        <f t="shared" si="6"/>
        <v>0.005354143086</v>
      </c>
      <c r="I298" s="124">
        <f>E298/Introduction!$I$20</f>
        <v>0.4272426283</v>
      </c>
      <c r="J298" s="125">
        <f t="shared" si="7"/>
        <v>0.1359952344</v>
      </c>
      <c r="K298" s="51"/>
      <c r="L298" s="51"/>
      <c r="M298" s="51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  <c r="BV298" s="54"/>
      <c r="BW298" s="54"/>
      <c r="BX298" s="54"/>
      <c r="BY298" s="54"/>
      <c r="BZ298" s="54"/>
      <c r="CA298" s="54"/>
      <c r="CB298" s="54"/>
      <c r="CC298" s="54"/>
      <c r="CD298" s="54"/>
      <c r="CE298" s="54"/>
      <c r="CF298" s="54"/>
      <c r="CG298" s="54"/>
      <c r="CH298" s="54"/>
      <c r="CI298" s="54"/>
      <c r="CJ298" s="54"/>
      <c r="CK298" s="54"/>
      <c r="CL298" s="54"/>
      <c r="CM298" s="54"/>
      <c r="CN298" s="54"/>
      <c r="CO298" s="54"/>
      <c r="CP298" s="54"/>
      <c r="CQ298" s="54"/>
      <c r="CR298" s="54"/>
      <c r="CS298" s="54"/>
      <c r="CT298" s="54"/>
      <c r="CU298" s="54"/>
    </row>
    <row r="299" ht="15.75" customHeight="1">
      <c r="A299" s="51"/>
      <c r="B299" s="316" t="s">
        <v>737</v>
      </c>
      <c r="C299" s="189">
        <f>BY136</f>
        <v>1.482805591</v>
      </c>
      <c r="D299" s="218">
        <f t="shared" si="3"/>
        <v>0.471990575</v>
      </c>
      <c r="E299" s="190">
        <f t="shared" si="12"/>
        <v>37.663262</v>
      </c>
      <c r="F299" s="122">
        <f t="shared" si="13"/>
        <v>11.98856061</v>
      </c>
      <c r="G299" s="123">
        <f>C299/Introduction!$I$20</f>
        <v>0.01544589157</v>
      </c>
      <c r="H299" s="192">
        <f t="shared" si="6"/>
        <v>0.00491656849</v>
      </c>
      <c r="I299" s="124">
        <f>E299/Introduction!$I$20</f>
        <v>0.3923256458</v>
      </c>
      <c r="J299" s="125">
        <f t="shared" si="7"/>
        <v>0.1248808396</v>
      </c>
      <c r="K299" s="51"/>
      <c r="L299" s="51"/>
      <c r="M299" s="51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  <c r="BV299" s="54"/>
      <c r="BW299" s="54"/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  <c r="CH299" s="54"/>
      <c r="CI299" s="54"/>
      <c r="CJ299" s="54"/>
      <c r="CK299" s="54"/>
      <c r="CL299" s="54"/>
      <c r="CM299" s="54"/>
      <c r="CN299" s="54"/>
      <c r="CO299" s="54"/>
      <c r="CP299" s="54"/>
      <c r="CQ299" s="54"/>
      <c r="CR299" s="54"/>
      <c r="CS299" s="54"/>
      <c r="CT299" s="54"/>
      <c r="CU299" s="54"/>
    </row>
    <row r="300" ht="15.75" customHeight="1">
      <c r="A300" s="51"/>
      <c r="B300" s="316" t="s">
        <v>738</v>
      </c>
      <c r="C300" s="189">
        <f>BZ136</f>
        <v>1.223314612</v>
      </c>
      <c r="D300" s="218">
        <f t="shared" si="3"/>
        <v>0.3893922244</v>
      </c>
      <c r="E300" s="190">
        <f t="shared" si="12"/>
        <v>31.07219115</v>
      </c>
      <c r="F300" s="122">
        <f t="shared" si="13"/>
        <v>9.8905625</v>
      </c>
      <c r="G300" s="123">
        <f>C300/Introduction!$I$20</f>
        <v>0.01274286054</v>
      </c>
      <c r="H300" s="192">
        <f t="shared" si="6"/>
        <v>0.004056169004</v>
      </c>
      <c r="I300" s="124">
        <f>E300/Introduction!$I$20</f>
        <v>0.3236686578</v>
      </c>
      <c r="J300" s="125">
        <f t="shared" si="7"/>
        <v>0.1030266927</v>
      </c>
      <c r="K300" s="51"/>
      <c r="L300" s="51"/>
      <c r="M300" s="51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  <c r="BV300" s="54"/>
      <c r="BW300" s="54"/>
      <c r="BX300" s="54"/>
      <c r="BY300" s="54"/>
      <c r="BZ300" s="54"/>
      <c r="CA300" s="54"/>
      <c r="CB300" s="54"/>
      <c r="CC300" s="54"/>
      <c r="CD300" s="54"/>
      <c r="CE300" s="54"/>
      <c r="CF300" s="54"/>
      <c r="CG300" s="54"/>
      <c r="CH300" s="54"/>
      <c r="CI300" s="54"/>
      <c r="CJ300" s="54"/>
      <c r="CK300" s="54"/>
      <c r="CL300" s="54"/>
      <c r="CM300" s="54"/>
      <c r="CN300" s="54"/>
      <c r="CO300" s="54"/>
      <c r="CP300" s="54"/>
      <c r="CQ300" s="54"/>
      <c r="CR300" s="54"/>
      <c r="CS300" s="54"/>
      <c r="CT300" s="54"/>
      <c r="CU300" s="54"/>
    </row>
    <row r="301" ht="15.75" customHeight="1">
      <c r="A301" s="51"/>
      <c r="B301" s="316" t="s">
        <v>739</v>
      </c>
      <c r="C301" s="189">
        <f>Standing!$C$126*0.4</f>
        <v>1.482805591</v>
      </c>
      <c r="D301" s="218">
        <f t="shared" si="3"/>
        <v>0.471990575</v>
      </c>
      <c r="E301" s="190">
        <f t="shared" si="12"/>
        <v>37.663262</v>
      </c>
      <c r="F301" s="122">
        <f t="shared" si="13"/>
        <v>11.98856061</v>
      </c>
      <c r="G301" s="123">
        <f>C301/Introduction!$I$20</f>
        <v>0.01544589157</v>
      </c>
      <c r="H301" s="192">
        <f t="shared" si="6"/>
        <v>0.00491656849</v>
      </c>
      <c r="I301" s="124">
        <f>E301/Introduction!$I$20</f>
        <v>0.3923256458</v>
      </c>
      <c r="J301" s="125">
        <f t="shared" si="7"/>
        <v>0.1248808396</v>
      </c>
      <c r="K301" s="51"/>
      <c r="L301" s="51"/>
      <c r="M301" s="51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  <c r="BV301" s="54"/>
      <c r="BW301" s="54"/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  <c r="CH301" s="54"/>
      <c r="CI301" s="54"/>
      <c r="CJ301" s="54"/>
      <c r="CK301" s="54"/>
      <c r="CL301" s="54"/>
      <c r="CM301" s="54"/>
      <c r="CN301" s="54"/>
      <c r="CO301" s="54"/>
      <c r="CP301" s="54"/>
      <c r="CQ301" s="54"/>
      <c r="CR301" s="54"/>
      <c r="CS301" s="54"/>
      <c r="CT301" s="54"/>
      <c r="CU301" s="54"/>
    </row>
    <row r="302" ht="15.75" customHeight="1">
      <c r="A302" s="51"/>
      <c r="B302" s="316" t="s">
        <v>740</v>
      </c>
      <c r="C302" s="189">
        <f>Standing!$C$126*0.33</f>
        <v>1.223314612</v>
      </c>
      <c r="D302" s="218">
        <f t="shared" si="3"/>
        <v>0.3893922244</v>
      </c>
      <c r="E302" s="190">
        <f t="shared" si="12"/>
        <v>31.07219115</v>
      </c>
      <c r="F302" s="122">
        <f t="shared" si="13"/>
        <v>9.8905625</v>
      </c>
      <c r="G302" s="123">
        <f>C302/Introduction!$I$20</f>
        <v>0.01274286054</v>
      </c>
      <c r="H302" s="192">
        <f t="shared" si="6"/>
        <v>0.004056169004</v>
      </c>
      <c r="I302" s="124">
        <f>E302/Introduction!$I$20</f>
        <v>0.3236686578</v>
      </c>
      <c r="J302" s="125">
        <f t="shared" si="7"/>
        <v>0.1030266927</v>
      </c>
      <c r="K302" s="51"/>
      <c r="L302" s="51"/>
      <c r="M302" s="51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  <c r="BV302" s="54"/>
      <c r="BW302" s="54"/>
      <c r="BX302" s="54"/>
      <c r="BY302" s="54"/>
      <c r="BZ302" s="54"/>
      <c r="CA302" s="54"/>
      <c r="CB302" s="54"/>
      <c r="CC302" s="54"/>
      <c r="CD302" s="54"/>
      <c r="CE302" s="54"/>
      <c r="CF302" s="54"/>
      <c r="CG302" s="54"/>
      <c r="CH302" s="54"/>
      <c r="CI302" s="54"/>
      <c r="CJ302" s="54"/>
      <c r="CK302" s="54"/>
      <c r="CL302" s="54"/>
      <c r="CM302" s="54"/>
      <c r="CN302" s="54"/>
      <c r="CO302" s="54"/>
      <c r="CP302" s="54"/>
      <c r="CQ302" s="54"/>
      <c r="CR302" s="54"/>
      <c r="CS302" s="54"/>
      <c r="CT302" s="54"/>
      <c r="CU302" s="54"/>
    </row>
    <row r="303" ht="15.75" customHeight="1">
      <c r="A303" s="51"/>
      <c r="B303" s="317" t="s">
        <v>741</v>
      </c>
      <c r="C303" s="189">
        <f>CA136</f>
        <v>1.853506988</v>
      </c>
      <c r="D303" s="218">
        <f t="shared" si="3"/>
        <v>0.5899882188</v>
      </c>
      <c r="E303" s="190">
        <f t="shared" si="12"/>
        <v>47.0790775</v>
      </c>
      <c r="F303" s="122">
        <f t="shared" si="13"/>
        <v>14.98570076</v>
      </c>
      <c r="G303" s="123">
        <f>C303/Introduction!$I$20</f>
        <v>0.01930736446</v>
      </c>
      <c r="H303" s="192">
        <f t="shared" si="6"/>
        <v>0.006145710612</v>
      </c>
      <c r="I303" s="124">
        <f>E303/Introduction!$I$20</f>
        <v>0.4904070573</v>
      </c>
      <c r="J303" s="125">
        <f t="shared" si="7"/>
        <v>0.1561010496</v>
      </c>
      <c r="K303" s="51"/>
      <c r="L303" s="51"/>
      <c r="M303" s="51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  <c r="BV303" s="54"/>
      <c r="BW303" s="54"/>
      <c r="BX303" s="54"/>
      <c r="BY303" s="54"/>
      <c r="BZ303" s="54"/>
      <c r="CA303" s="54"/>
      <c r="CB303" s="54"/>
      <c r="CC303" s="54"/>
      <c r="CD303" s="54"/>
      <c r="CE303" s="54"/>
      <c r="CF303" s="54"/>
      <c r="CG303" s="54"/>
      <c r="CH303" s="54"/>
      <c r="CI303" s="54"/>
      <c r="CJ303" s="54"/>
      <c r="CK303" s="54"/>
      <c r="CL303" s="54"/>
      <c r="CM303" s="54"/>
      <c r="CN303" s="54"/>
      <c r="CO303" s="54"/>
      <c r="CP303" s="54"/>
      <c r="CQ303" s="54"/>
      <c r="CR303" s="54"/>
      <c r="CS303" s="54"/>
      <c r="CT303" s="54"/>
      <c r="CU303" s="54"/>
    </row>
    <row r="304" ht="15.75" customHeight="1">
      <c r="A304" s="51"/>
      <c r="B304" s="316" t="s">
        <v>742</v>
      </c>
      <c r="C304" s="189">
        <f>C303*0.9</f>
        <v>1.668156289</v>
      </c>
      <c r="D304" s="218">
        <f t="shared" si="3"/>
        <v>0.5309893969</v>
      </c>
      <c r="E304" s="190">
        <f t="shared" si="12"/>
        <v>42.37116975</v>
      </c>
      <c r="F304" s="122">
        <f t="shared" si="13"/>
        <v>13.48713068</v>
      </c>
      <c r="G304" s="123">
        <f>C304/Introduction!$I$20</f>
        <v>0.01737662801</v>
      </c>
      <c r="H304" s="192">
        <f t="shared" si="6"/>
        <v>0.005531139551</v>
      </c>
      <c r="I304" s="124">
        <f>E304/Introduction!$I$20</f>
        <v>0.4413663516</v>
      </c>
      <c r="J304" s="125">
        <f t="shared" si="7"/>
        <v>0.1404909446</v>
      </c>
      <c r="K304" s="51"/>
      <c r="L304" s="51"/>
      <c r="M304" s="51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  <c r="BV304" s="54"/>
      <c r="BW304" s="54"/>
      <c r="BX304" s="54"/>
      <c r="BY304" s="54"/>
      <c r="BZ304" s="54"/>
      <c r="CA304" s="54"/>
      <c r="CB304" s="54"/>
      <c r="CC304" s="54"/>
      <c r="CD304" s="54"/>
      <c r="CE304" s="54"/>
      <c r="CF304" s="54"/>
      <c r="CG304" s="54"/>
      <c r="CH304" s="54"/>
      <c r="CI304" s="54"/>
      <c r="CJ304" s="54"/>
      <c r="CK304" s="54"/>
      <c r="CL304" s="54"/>
      <c r="CM304" s="54"/>
      <c r="CN304" s="54"/>
      <c r="CO304" s="54"/>
      <c r="CP304" s="54"/>
      <c r="CQ304" s="54"/>
      <c r="CR304" s="54"/>
      <c r="CS304" s="54"/>
      <c r="CT304" s="54"/>
      <c r="CU304" s="54"/>
    </row>
    <row r="305" ht="15.75" customHeight="1">
      <c r="A305" s="51"/>
      <c r="B305" s="316" t="s">
        <v>743</v>
      </c>
      <c r="C305" s="189">
        <f>CB136</f>
        <v>1.223314612</v>
      </c>
      <c r="D305" s="218">
        <f t="shared" si="3"/>
        <v>0.3893922244</v>
      </c>
      <c r="E305" s="190">
        <f t="shared" si="12"/>
        <v>31.07219115</v>
      </c>
      <c r="F305" s="122">
        <f t="shared" si="13"/>
        <v>9.8905625</v>
      </c>
      <c r="G305" s="123">
        <f>C305/Introduction!$I$20</f>
        <v>0.01274286054</v>
      </c>
      <c r="H305" s="192">
        <f t="shared" si="6"/>
        <v>0.004056169004</v>
      </c>
      <c r="I305" s="124">
        <f>E305/Introduction!$I$20</f>
        <v>0.3236686578</v>
      </c>
      <c r="J305" s="125">
        <f t="shared" si="7"/>
        <v>0.1030266927</v>
      </c>
      <c r="K305" s="51"/>
      <c r="L305" s="51"/>
      <c r="M305" s="51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</row>
    <row r="306" ht="15.75" customHeight="1">
      <c r="A306" s="51"/>
      <c r="B306" s="316" t="s">
        <v>744</v>
      </c>
      <c r="C306" s="189">
        <f>CC136</f>
        <v>0.9267534941</v>
      </c>
      <c r="D306" s="218">
        <f t="shared" si="3"/>
        <v>0.2949941094</v>
      </c>
      <c r="E306" s="190">
        <f t="shared" si="12"/>
        <v>23.53953875</v>
      </c>
      <c r="F306" s="122">
        <f t="shared" si="13"/>
        <v>7.492850379</v>
      </c>
      <c r="G306" s="123">
        <f>C306/Introduction!$I$20</f>
        <v>0.00965368223</v>
      </c>
      <c r="H306" s="192">
        <f t="shared" si="6"/>
        <v>0.003072855306</v>
      </c>
      <c r="I306" s="124">
        <f>E306/Introduction!$I$20</f>
        <v>0.2452035286</v>
      </c>
      <c r="J306" s="125">
        <f t="shared" si="7"/>
        <v>0.07805052478</v>
      </c>
      <c r="K306" s="51"/>
      <c r="L306" s="51"/>
      <c r="M306" s="51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</row>
    <row r="307" ht="15.75" customHeight="1">
      <c r="A307" s="51"/>
      <c r="B307" s="316" t="s">
        <v>745</v>
      </c>
      <c r="C307" s="189">
        <f>Standing!$C$132*0.6</f>
        <v>1.112104193</v>
      </c>
      <c r="D307" s="218">
        <f t="shared" si="3"/>
        <v>0.3539929313</v>
      </c>
      <c r="E307" s="190">
        <f t="shared" si="12"/>
        <v>28.2474465</v>
      </c>
      <c r="F307" s="122">
        <f t="shared" si="13"/>
        <v>8.991420455</v>
      </c>
      <c r="G307" s="123">
        <f>C307/Introduction!$I$20</f>
        <v>0.01158441868</v>
      </c>
      <c r="H307" s="192">
        <f t="shared" si="6"/>
        <v>0.003687426367</v>
      </c>
      <c r="I307" s="124">
        <f>E307/Introduction!$I$20</f>
        <v>0.2942442344</v>
      </c>
      <c r="J307" s="125">
        <f t="shared" si="7"/>
        <v>0.09366062973</v>
      </c>
      <c r="K307" s="51"/>
      <c r="L307" s="51"/>
      <c r="M307" s="51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</row>
    <row r="308" ht="15.75" customHeight="1">
      <c r="A308" s="51"/>
      <c r="B308" s="316" t="s">
        <v>746</v>
      </c>
      <c r="C308" s="189">
        <f>IF(CD136&gt;1.5,CD136,1.5)</f>
        <v>1.5</v>
      </c>
      <c r="D308" s="218">
        <f t="shared" si="3"/>
        <v>0.4774637128</v>
      </c>
      <c r="E308" s="190">
        <f t="shared" si="12"/>
        <v>38.1</v>
      </c>
      <c r="F308" s="122">
        <f t="shared" si="13"/>
        <v>12.1275783</v>
      </c>
      <c r="G308" s="123">
        <f>C308/Introduction!$I$20</f>
        <v>0.015625</v>
      </c>
      <c r="H308" s="192">
        <f t="shared" si="6"/>
        <v>0.004973580341</v>
      </c>
      <c r="I308" s="124">
        <f>E308/Introduction!$I$20</f>
        <v>0.396875</v>
      </c>
      <c r="J308" s="125">
        <f t="shared" si="7"/>
        <v>0.1263289407</v>
      </c>
      <c r="K308" s="51"/>
      <c r="L308" s="51"/>
      <c r="M308" s="51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</row>
    <row r="309" ht="15.75" customHeight="1">
      <c r="A309" s="51"/>
      <c r="B309" s="316" t="s">
        <v>747</v>
      </c>
      <c r="C309" s="189">
        <f>IF(C308*0.75&gt;1.5,C308*0.75,1.5)</f>
        <v>1.5</v>
      </c>
      <c r="D309" s="218">
        <f t="shared" si="3"/>
        <v>0.4774637128</v>
      </c>
      <c r="E309" s="190">
        <f t="shared" si="12"/>
        <v>38.1</v>
      </c>
      <c r="F309" s="122">
        <f t="shared" si="13"/>
        <v>12.1275783</v>
      </c>
      <c r="G309" s="123">
        <f>C309/Introduction!$I$20</f>
        <v>0.015625</v>
      </c>
      <c r="H309" s="192">
        <f t="shared" si="6"/>
        <v>0.004973580341</v>
      </c>
      <c r="I309" s="124">
        <f>E309/Introduction!$I$20</f>
        <v>0.396875</v>
      </c>
      <c r="J309" s="125">
        <f t="shared" si="7"/>
        <v>0.1263289407</v>
      </c>
      <c r="K309" s="51"/>
      <c r="L309" s="51"/>
      <c r="M309" s="51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</row>
    <row r="310" ht="15.75" customHeight="1">
      <c r="A310" s="51"/>
      <c r="B310" s="316" t="s">
        <v>748</v>
      </c>
      <c r="C310" s="189">
        <f>CF136</f>
        <v>1.223314612</v>
      </c>
      <c r="D310" s="218">
        <f t="shared" si="3"/>
        <v>0.3893922244</v>
      </c>
      <c r="E310" s="190">
        <f t="shared" si="12"/>
        <v>31.07219115</v>
      </c>
      <c r="F310" s="122">
        <f t="shared" si="13"/>
        <v>9.8905625</v>
      </c>
      <c r="G310" s="123">
        <f>C310/Introduction!$I$20</f>
        <v>0.01274286054</v>
      </c>
      <c r="H310" s="192">
        <f t="shared" si="6"/>
        <v>0.004056169004</v>
      </c>
      <c r="I310" s="124">
        <f>E310/Introduction!$I$20</f>
        <v>0.3236686578</v>
      </c>
      <c r="J310" s="125">
        <f t="shared" si="7"/>
        <v>0.1030266927</v>
      </c>
      <c r="K310" s="51"/>
      <c r="L310" s="51"/>
      <c r="M310" s="51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</row>
    <row r="311" ht="15.75" customHeight="1">
      <c r="A311" s="51"/>
      <c r="B311" s="316" t="s">
        <v>749</v>
      </c>
      <c r="C311" s="189">
        <f>IF(CG136&gt;1.5,CG136,1.5)</f>
        <v>1.5</v>
      </c>
      <c r="D311" s="218">
        <f t="shared" si="3"/>
        <v>0.4774637128</v>
      </c>
      <c r="E311" s="190">
        <f t="shared" si="12"/>
        <v>38.1</v>
      </c>
      <c r="F311" s="122">
        <f t="shared" si="13"/>
        <v>12.1275783</v>
      </c>
      <c r="G311" s="123">
        <f>C311/Introduction!$I$20</f>
        <v>0.015625</v>
      </c>
      <c r="H311" s="192">
        <f t="shared" si="6"/>
        <v>0.004973580341</v>
      </c>
      <c r="I311" s="124">
        <f>E311/Introduction!$I$20</f>
        <v>0.396875</v>
      </c>
      <c r="J311" s="125">
        <f t="shared" si="7"/>
        <v>0.1263289407</v>
      </c>
      <c r="K311" s="51"/>
      <c r="L311" s="51"/>
      <c r="M311" s="51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</row>
    <row r="312" ht="15.75" customHeight="1">
      <c r="A312" s="51"/>
      <c r="B312" s="316" t="s">
        <v>750</v>
      </c>
      <c r="C312" s="189">
        <f>IF(Standing!$C$132*0.4&gt;1,Standing!$C$132*0.4,1)</f>
        <v>1</v>
      </c>
      <c r="D312" s="218">
        <f t="shared" si="3"/>
        <v>0.3183091418</v>
      </c>
      <c r="E312" s="190">
        <f t="shared" si="12"/>
        <v>25.4</v>
      </c>
      <c r="F312" s="122">
        <f t="shared" si="13"/>
        <v>8.085052203</v>
      </c>
      <c r="G312" s="123">
        <f>C312/Introduction!$I$20</f>
        <v>0.01041666667</v>
      </c>
      <c r="H312" s="192">
        <f t="shared" si="6"/>
        <v>0.003315720227</v>
      </c>
      <c r="I312" s="124">
        <f>E312/Introduction!$I$20</f>
        <v>0.2645833333</v>
      </c>
      <c r="J312" s="125">
        <f t="shared" si="7"/>
        <v>0.08421929378</v>
      </c>
      <c r="K312" s="51"/>
      <c r="L312" s="51"/>
      <c r="M312" s="51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</row>
    <row r="313" ht="15.75" customHeight="1">
      <c r="A313" s="51"/>
      <c r="B313" s="316" t="s">
        <v>751</v>
      </c>
      <c r="C313" s="189">
        <f>IF(Standing!$C$132*0.4&gt;1,Standing!$C$132*0.4,1)</f>
        <v>1</v>
      </c>
      <c r="D313" s="218">
        <f t="shared" si="3"/>
        <v>0.3183091418</v>
      </c>
      <c r="E313" s="190">
        <f t="shared" si="12"/>
        <v>25.4</v>
      </c>
      <c r="F313" s="122">
        <f t="shared" si="13"/>
        <v>8.085052203</v>
      </c>
      <c r="G313" s="123">
        <f>C313/Introduction!$I$20</f>
        <v>0.01041666667</v>
      </c>
      <c r="H313" s="192">
        <f t="shared" si="6"/>
        <v>0.003315720227</v>
      </c>
      <c r="I313" s="124">
        <f>E313/Introduction!$I$20</f>
        <v>0.2645833333</v>
      </c>
      <c r="J313" s="125">
        <f t="shared" si="7"/>
        <v>0.08421929378</v>
      </c>
      <c r="K313" s="51"/>
      <c r="L313" s="51"/>
      <c r="M313" s="51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</row>
    <row r="314" ht="15.75" customHeight="1">
      <c r="A314" s="51"/>
      <c r="B314" s="316" t="s">
        <v>752</v>
      </c>
      <c r="C314" s="189">
        <f>CH136</f>
        <v>0.9267534941</v>
      </c>
      <c r="D314" s="218">
        <f t="shared" si="3"/>
        <v>0.2949941094</v>
      </c>
      <c r="E314" s="190">
        <f t="shared" si="12"/>
        <v>23.53953875</v>
      </c>
      <c r="F314" s="122">
        <f t="shared" si="13"/>
        <v>7.492850379</v>
      </c>
      <c r="G314" s="123">
        <f>C314/Introduction!$I$20</f>
        <v>0.00965368223</v>
      </c>
      <c r="H314" s="192">
        <f t="shared" si="6"/>
        <v>0.003072855306</v>
      </c>
      <c r="I314" s="124">
        <f>E314/Introduction!$I$20</f>
        <v>0.2452035286</v>
      </c>
      <c r="J314" s="125">
        <f t="shared" si="7"/>
        <v>0.07805052478</v>
      </c>
      <c r="K314" s="51"/>
      <c r="L314" s="51"/>
      <c r="M314" s="51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  <c r="BV314" s="54"/>
      <c r="BW314" s="54"/>
      <c r="BX314" s="54"/>
      <c r="BY314" s="54"/>
      <c r="BZ314" s="54"/>
      <c r="CA314" s="54"/>
      <c r="CB314" s="54"/>
      <c r="CC314" s="54"/>
      <c r="CD314" s="54"/>
      <c r="CE314" s="54"/>
      <c r="CF314" s="54"/>
      <c r="CG314" s="54"/>
      <c r="CH314" s="54"/>
      <c r="CI314" s="54"/>
      <c r="CJ314" s="54"/>
      <c r="CK314" s="54"/>
      <c r="CL314" s="54"/>
      <c r="CM314" s="54"/>
      <c r="CN314" s="54"/>
      <c r="CO314" s="54"/>
      <c r="CP314" s="54"/>
      <c r="CQ314" s="54"/>
      <c r="CR314" s="54"/>
      <c r="CS314" s="54"/>
      <c r="CT314" s="54"/>
      <c r="CU314" s="54"/>
    </row>
    <row r="315" ht="15.75" customHeight="1">
      <c r="A315" s="51"/>
      <c r="B315" s="316" t="s">
        <v>753</v>
      </c>
      <c r="C315" s="189">
        <f>CI136</f>
        <v>0.9267534941</v>
      </c>
      <c r="D315" s="218">
        <f t="shared" si="3"/>
        <v>0.2949941094</v>
      </c>
      <c r="E315" s="190">
        <f t="shared" si="12"/>
        <v>23.53953875</v>
      </c>
      <c r="F315" s="122">
        <f t="shared" si="13"/>
        <v>7.492850379</v>
      </c>
      <c r="G315" s="123">
        <f>C315/Introduction!$I$20</f>
        <v>0.00965368223</v>
      </c>
      <c r="H315" s="192">
        <f t="shared" si="6"/>
        <v>0.003072855306</v>
      </c>
      <c r="I315" s="124">
        <f>E315/Introduction!$I$20</f>
        <v>0.2452035286</v>
      </c>
      <c r="J315" s="125">
        <f t="shared" si="7"/>
        <v>0.07805052478</v>
      </c>
      <c r="K315" s="51"/>
      <c r="L315" s="51"/>
      <c r="M315" s="51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  <c r="BV315" s="54"/>
      <c r="BW315" s="54"/>
      <c r="BX315" s="54"/>
      <c r="BY315" s="54"/>
      <c r="BZ315" s="54"/>
      <c r="CA315" s="54"/>
      <c r="CB315" s="54"/>
      <c r="CC315" s="54"/>
      <c r="CD315" s="54"/>
      <c r="CE315" s="54"/>
      <c r="CF315" s="54"/>
      <c r="CG315" s="54"/>
      <c r="CH315" s="54"/>
      <c r="CI315" s="54"/>
      <c r="CJ315" s="54"/>
      <c r="CK315" s="54"/>
      <c r="CL315" s="54"/>
      <c r="CM315" s="54"/>
      <c r="CN315" s="54"/>
      <c r="CO315" s="54"/>
      <c r="CP315" s="54"/>
      <c r="CQ315" s="54"/>
      <c r="CR315" s="54"/>
      <c r="CS315" s="54"/>
      <c r="CT315" s="54"/>
      <c r="CU315" s="54"/>
    </row>
    <row r="316" ht="15.75" customHeight="1">
      <c r="A316" s="51"/>
      <c r="B316" s="316" t="s">
        <v>754</v>
      </c>
      <c r="C316" s="189">
        <f>Standing!$C$132*0.6</f>
        <v>1.112104193</v>
      </c>
      <c r="D316" s="218">
        <f t="shared" si="3"/>
        <v>0.3539929313</v>
      </c>
      <c r="E316" s="190">
        <f t="shared" si="12"/>
        <v>28.2474465</v>
      </c>
      <c r="F316" s="122">
        <f t="shared" si="13"/>
        <v>8.991420455</v>
      </c>
      <c r="G316" s="123">
        <f>C316/Introduction!$I$20</f>
        <v>0.01158441868</v>
      </c>
      <c r="H316" s="192">
        <f t="shared" si="6"/>
        <v>0.003687426367</v>
      </c>
      <c r="I316" s="124">
        <f>E316/Introduction!$I$20</f>
        <v>0.2942442344</v>
      </c>
      <c r="J316" s="125">
        <f t="shared" si="7"/>
        <v>0.09366062973</v>
      </c>
      <c r="K316" s="51"/>
      <c r="L316" s="51"/>
      <c r="M316" s="51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  <c r="BV316" s="54"/>
      <c r="BW316" s="54"/>
      <c r="BX316" s="54"/>
      <c r="BY316" s="54"/>
      <c r="BZ316" s="54"/>
      <c r="CA316" s="54"/>
      <c r="CB316" s="54"/>
      <c r="CC316" s="54"/>
      <c r="CD316" s="54"/>
      <c r="CE316" s="54"/>
      <c r="CF316" s="54"/>
      <c r="CG316" s="54"/>
      <c r="CH316" s="54"/>
      <c r="CI316" s="54"/>
      <c r="CJ316" s="54"/>
      <c r="CK316" s="54"/>
      <c r="CL316" s="54"/>
      <c r="CM316" s="54"/>
      <c r="CN316" s="54"/>
      <c r="CO316" s="54"/>
      <c r="CP316" s="54"/>
      <c r="CQ316" s="54"/>
      <c r="CR316" s="54"/>
      <c r="CS316" s="54"/>
      <c r="CT316" s="54"/>
      <c r="CU316" s="54"/>
    </row>
    <row r="317" ht="15.75" customHeight="1">
      <c r="A317" s="51"/>
      <c r="B317" s="316" t="s">
        <v>755</v>
      </c>
      <c r="C317" s="189">
        <f>IF(Standing!$C$132*0.3&gt;1,Standing!$C$132*0.3,1)</f>
        <v>1</v>
      </c>
      <c r="D317" s="218">
        <f t="shared" si="3"/>
        <v>0.3183091418</v>
      </c>
      <c r="E317" s="190">
        <f t="shared" si="12"/>
        <v>25.4</v>
      </c>
      <c r="F317" s="122">
        <f t="shared" si="13"/>
        <v>8.085052203</v>
      </c>
      <c r="G317" s="123">
        <f>C317/Introduction!$I$20</f>
        <v>0.01041666667</v>
      </c>
      <c r="H317" s="192">
        <f t="shared" si="6"/>
        <v>0.003315720227</v>
      </c>
      <c r="I317" s="124">
        <f>E317/Introduction!$I$20</f>
        <v>0.2645833333</v>
      </c>
      <c r="J317" s="125">
        <f t="shared" si="7"/>
        <v>0.08421929378</v>
      </c>
      <c r="K317" s="51"/>
      <c r="L317" s="51"/>
      <c r="M317" s="51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  <c r="BV317" s="54"/>
      <c r="BW317" s="54"/>
      <c r="BX317" s="54"/>
      <c r="BY317" s="54"/>
      <c r="BZ317" s="54"/>
      <c r="CA317" s="54"/>
      <c r="CB317" s="54"/>
      <c r="CC317" s="54"/>
      <c r="CD317" s="54"/>
      <c r="CE317" s="54"/>
      <c r="CF317" s="54"/>
      <c r="CG317" s="54"/>
      <c r="CH317" s="54"/>
      <c r="CI317" s="54"/>
      <c r="CJ317" s="54"/>
      <c r="CK317" s="54"/>
      <c r="CL317" s="54"/>
      <c r="CM317" s="54"/>
      <c r="CN317" s="54"/>
      <c r="CO317" s="54"/>
      <c r="CP317" s="54"/>
      <c r="CQ317" s="54"/>
      <c r="CR317" s="54"/>
      <c r="CS317" s="54"/>
      <c r="CT317" s="54"/>
      <c r="CU317" s="54"/>
    </row>
    <row r="318" ht="15.75" customHeight="1">
      <c r="A318" s="51"/>
      <c r="B318" s="316" t="s">
        <v>756</v>
      </c>
      <c r="C318" s="189">
        <f>CJ136</f>
        <v>0.9267534941</v>
      </c>
      <c r="D318" s="218">
        <f t="shared" si="3"/>
        <v>0.2949941094</v>
      </c>
      <c r="E318" s="190">
        <f t="shared" si="12"/>
        <v>23.53953875</v>
      </c>
      <c r="F318" s="122">
        <f t="shared" si="13"/>
        <v>7.492850379</v>
      </c>
      <c r="G318" s="123">
        <f>C318/Introduction!$I$20</f>
        <v>0.00965368223</v>
      </c>
      <c r="H318" s="192">
        <f t="shared" si="6"/>
        <v>0.003072855306</v>
      </c>
      <c r="I318" s="124">
        <f>E318/Introduction!$I$20</f>
        <v>0.2452035286</v>
      </c>
      <c r="J318" s="125">
        <f t="shared" si="7"/>
        <v>0.07805052478</v>
      </c>
      <c r="K318" s="51"/>
      <c r="L318" s="51"/>
      <c r="M318" s="51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  <c r="BV318" s="54"/>
      <c r="BW318" s="54"/>
      <c r="BX318" s="54"/>
      <c r="BY318" s="54"/>
      <c r="BZ318" s="54"/>
      <c r="CA318" s="54"/>
      <c r="CB318" s="54"/>
      <c r="CC318" s="54"/>
      <c r="CD318" s="54"/>
      <c r="CE318" s="54"/>
      <c r="CF318" s="54"/>
      <c r="CG318" s="54"/>
      <c r="CH318" s="54"/>
      <c r="CI318" s="54"/>
      <c r="CJ318" s="54"/>
      <c r="CK318" s="54"/>
      <c r="CL318" s="54"/>
      <c r="CM318" s="54"/>
      <c r="CN318" s="54"/>
      <c r="CO318" s="54"/>
      <c r="CP318" s="54"/>
      <c r="CQ318" s="54"/>
      <c r="CR318" s="54"/>
      <c r="CS318" s="54"/>
      <c r="CT318" s="54"/>
      <c r="CU318" s="54"/>
    </row>
    <row r="319" ht="15.75" customHeight="1">
      <c r="A319" s="51"/>
      <c r="B319" s="316" t="s">
        <v>757</v>
      </c>
      <c r="C319" s="189">
        <f>Standing!$C$132</f>
        <v>1.853506988</v>
      </c>
      <c r="D319" s="218">
        <f t="shared" si="3"/>
        <v>0.5899882188</v>
      </c>
      <c r="E319" s="190">
        <f t="shared" si="12"/>
        <v>47.0790775</v>
      </c>
      <c r="F319" s="122">
        <f t="shared" si="13"/>
        <v>14.98570076</v>
      </c>
      <c r="G319" s="123">
        <f>C319/Introduction!$I$20</f>
        <v>0.01930736446</v>
      </c>
      <c r="H319" s="192">
        <f t="shared" si="6"/>
        <v>0.006145710612</v>
      </c>
      <c r="I319" s="124">
        <f>E319/Introduction!$I$20</f>
        <v>0.4904070573</v>
      </c>
      <c r="J319" s="125">
        <f t="shared" si="7"/>
        <v>0.1561010496</v>
      </c>
      <c r="K319" s="51"/>
      <c r="L319" s="51"/>
      <c r="M319" s="51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  <c r="BV319" s="54"/>
      <c r="BW319" s="54"/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  <c r="CH319" s="54"/>
      <c r="CI319" s="54"/>
      <c r="CJ319" s="54"/>
      <c r="CK319" s="54"/>
      <c r="CL319" s="54"/>
      <c r="CM319" s="54"/>
      <c r="CN319" s="54"/>
      <c r="CO319" s="54"/>
      <c r="CP319" s="54"/>
      <c r="CQ319" s="54"/>
      <c r="CR319" s="54"/>
      <c r="CS319" s="54"/>
      <c r="CT319" s="54"/>
      <c r="CU319" s="54"/>
    </row>
    <row r="320" ht="15.75" customHeight="1">
      <c r="A320" s="51"/>
      <c r="B320" s="316" t="s">
        <v>758</v>
      </c>
      <c r="C320" s="189">
        <f>Standing!$C$132*0.66</f>
        <v>1.223314612</v>
      </c>
      <c r="D320" s="218">
        <f t="shared" si="3"/>
        <v>0.3893922244</v>
      </c>
      <c r="E320" s="190">
        <f t="shared" si="12"/>
        <v>31.07219115</v>
      </c>
      <c r="F320" s="122">
        <f t="shared" si="13"/>
        <v>9.8905625</v>
      </c>
      <c r="G320" s="123">
        <f>C320/Introduction!$I$20</f>
        <v>0.01274286054</v>
      </c>
      <c r="H320" s="192">
        <f t="shared" si="6"/>
        <v>0.004056169004</v>
      </c>
      <c r="I320" s="124">
        <f>E320/Introduction!$I$20</f>
        <v>0.3236686578</v>
      </c>
      <c r="J320" s="125">
        <f t="shared" si="7"/>
        <v>0.1030266927</v>
      </c>
      <c r="K320" s="51"/>
      <c r="L320" s="51"/>
      <c r="M320" s="51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  <c r="BV320" s="54"/>
      <c r="BW320" s="54"/>
      <c r="BX320" s="54"/>
      <c r="BY320" s="54"/>
      <c r="BZ320" s="54"/>
      <c r="CA320" s="54"/>
      <c r="CB320" s="54"/>
      <c r="CC320" s="54"/>
      <c r="CD320" s="54"/>
      <c r="CE320" s="54"/>
      <c r="CF320" s="54"/>
      <c r="CG320" s="54"/>
      <c r="CH320" s="54"/>
      <c r="CI320" s="54"/>
      <c r="CJ320" s="54"/>
      <c r="CK320" s="54"/>
      <c r="CL320" s="54"/>
      <c r="CM320" s="54"/>
      <c r="CN320" s="54"/>
      <c r="CO320" s="54"/>
      <c r="CP320" s="54"/>
      <c r="CQ320" s="54"/>
      <c r="CR320" s="54"/>
      <c r="CS320" s="54"/>
      <c r="CT320" s="54"/>
      <c r="CU320" s="54"/>
    </row>
    <row r="321" ht="15.75" customHeight="1">
      <c r="A321" s="51"/>
      <c r="B321" s="316" t="s">
        <v>759</v>
      </c>
      <c r="C321" s="189">
        <f>IF(CE136&gt;1.5,CE136,1.5)</f>
        <v>1.5</v>
      </c>
      <c r="D321" s="218">
        <f t="shared" si="3"/>
        <v>0.4774637128</v>
      </c>
      <c r="E321" s="190">
        <f t="shared" si="12"/>
        <v>38.1</v>
      </c>
      <c r="F321" s="122">
        <f t="shared" si="13"/>
        <v>12.1275783</v>
      </c>
      <c r="G321" s="123">
        <f>C321/Introduction!$I$20</f>
        <v>0.015625</v>
      </c>
      <c r="H321" s="192">
        <f t="shared" si="6"/>
        <v>0.004973580341</v>
      </c>
      <c r="I321" s="124">
        <f>E321/Introduction!$I$20</f>
        <v>0.396875</v>
      </c>
      <c r="J321" s="125">
        <f t="shared" si="7"/>
        <v>0.1263289407</v>
      </c>
      <c r="K321" s="51"/>
      <c r="L321" s="51"/>
      <c r="M321" s="51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  <c r="BV321" s="54"/>
      <c r="BW321" s="54"/>
      <c r="BX321" s="54"/>
      <c r="BY321" s="54"/>
      <c r="BZ321" s="54"/>
      <c r="CA321" s="54"/>
      <c r="CB321" s="54"/>
      <c r="CC321" s="54"/>
      <c r="CD321" s="54"/>
      <c r="CE321" s="54"/>
      <c r="CF321" s="54"/>
      <c r="CG321" s="54"/>
      <c r="CH321" s="54"/>
      <c r="CI321" s="54"/>
      <c r="CJ321" s="54"/>
      <c r="CK321" s="54"/>
      <c r="CL321" s="54"/>
      <c r="CM321" s="54"/>
      <c r="CN321" s="54"/>
      <c r="CO321" s="54"/>
      <c r="CP321" s="54"/>
      <c r="CQ321" s="54"/>
      <c r="CR321" s="54"/>
      <c r="CS321" s="54"/>
      <c r="CT321" s="54"/>
      <c r="CU321" s="54"/>
    </row>
    <row r="322" ht="15.75" customHeight="1">
      <c r="A322" s="51"/>
      <c r="B322" s="316" t="s">
        <v>760</v>
      </c>
      <c r="C322" s="189">
        <f>IF(Standing!$C$132*0.6&gt;1.5,Standing!$C$132*0.6,1.5)</f>
        <v>1.5</v>
      </c>
      <c r="D322" s="218">
        <f t="shared" si="3"/>
        <v>0.4774637128</v>
      </c>
      <c r="E322" s="190">
        <f t="shared" si="12"/>
        <v>38.1</v>
      </c>
      <c r="F322" s="122">
        <f t="shared" si="13"/>
        <v>12.1275783</v>
      </c>
      <c r="G322" s="123">
        <f>C322/Introduction!$I$20</f>
        <v>0.015625</v>
      </c>
      <c r="H322" s="192">
        <f t="shared" si="6"/>
        <v>0.004973580341</v>
      </c>
      <c r="I322" s="124">
        <f>E322/Introduction!$I$20</f>
        <v>0.396875</v>
      </c>
      <c r="J322" s="125">
        <f t="shared" si="7"/>
        <v>0.1263289407</v>
      </c>
      <c r="K322" s="51"/>
      <c r="L322" s="51"/>
      <c r="M322" s="51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  <c r="BV322" s="54"/>
      <c r="BW322" s="54"/>
      <c r="BX322" s="54"/>
      <c r="BY322" s="54"/>
      <c r="BZ322" s="54"/>
      <c r="CA322" s="54"/>
      <c r="CB322" s="54"/>
      <c r="CC322" s="54"/>
      <c r="CD322" s="54"/>
      <c r="CE322" s="54"/>
      <c r="CF322" s="54"/>
      <c r="CG322" s="54"/>
      <c r="CH322" s="54"/>
      <c r="CI322" s="54"/>
      <c r="CJ322" s="54"/>
      <c r="CK322" s="54"/>
      <c r="CL322" s="54"/>
      <c r="CM322" s="54"/>
      <c r="CN322" s="54"/>
      <c r="CO322" s="54"/>
      <c r="CP322" s="54"/>
      <c r="CQ322" s="54"/>
      <c r="CR322" s="54"/>
      <c r="CS322" s="54"/>
      <c r="CT322" s="54"/>
      <c r="CU322" s="54"/>
    </row>
    <row r="323" ht="15.75" customHeight="1">
      <c r="A323" s="51"/>
      <c r="B323" s="316" t="s">
        <v>761</v>
      </c>
      <c r="C323" s="189">
        <f>IF(Standing!$C$132*0.3&gt;1,Standing!$C$132*0.3,1)</f>
        <v>1</v>
      </c>
      <c r="D323" s="218">
        <f t="shared" si="3"/>
        <v>0.3183091418</v>
      </c>
      <c r="E323" s="190">
        <f t="shared" si="12"/>
        <v>25.4</v>
      </c>
      <c r="F323" s="122">
        <f t="shared" si="13"/>
        <v>8.085052203</v>
      </c>
      <c r="G323" s="123">
        <f>C323/Introduction!$I$20</f>
        <v>0.01041666667</v>
      </c>
      <c r="H323" s="192">
        <f t="shared" si="6"/>
        <v>0.003315720227</v>
      </c>
      <c r="I323" s="124">
        <f>E323/Introduction!$I$20</f>
        <v>0.2645833333</v>
      </c>
      <c r="J323" s="125">
        <f t="shared" si="7"/>
        <v>0.08421929378</v>
      </c>
      <c r="K323" s="51"/>
      <c r="L323" s="51"/>
      <c r="M323" s="51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  <c r="BV323" s="54"/>
      <c r="BW323" s="54"/>
      <c r="BX323" s="54"/>
      <c r="BY323" s="54"/>
      <c r="BZ323" s="54"/>
      <c r="CA323" s="54"/>
      <c r="CB323" s="54"/>
      <c r="CC323" s="54"/>
      <c r="CD323" s="54"/>
      <c r="CE323" s="54"/>
      <c r="CF323" s="54"/>
      <c r="CG323" s="54"/>
      <c r="CH323" s="54"/>
      <c r="CI323" s="54"/>
      <c r="CJ323" s="54"/>
      <c r="CK323" s="54"/>
      <c r="CL323" s="54"/>
      <c r="CM323" s="54"/>
      <c r="CN323" s="54"/>
      <c r="CO323" s="54"/>
      <c r="CP323" s="54"/>
      <c r="CQ323" s="54"/>
      <c r="CR323" s="54"/>
      <c r="CS323" s="54"/>
      <c r="CT323" s="54"/>
      <c r="CU323" s="54"/>
    </row>
    <row r="324" ht="15.75" customHeight="1">
      <c r="A324" s="51"/>
      <c r="B324" s="317" t="s">
        <v>762</v>
      </c>
      <c r="C324" s="189">
        <f>Standing!$C$136</f>
        <v>2</v>
      </c>
      <c r="D324" s="218">
        <f t="shared" si="3"/>
        <v>0.6366182837</v>
      </c>
      <c r="E324" s="190">
        <f t="shared" si="12"/>
        <v>50.8</v>
      </c>
      <c r="F324" s="122">
        <f t="shared" si="13"/>
        <v>16.17010441</v>
      </c>
      <c r="G324" s="123">
        <f>C324/Introduction!$I$20</f>
        <v>0.02083333333</v>
      </c>
      <c r="H324" s="192">
        <f t="shared" si="6"/>
        <v>0.006631440455</v>
      </c>
      <c r="I324" s="124">
        <f>E324/Introduction!$I$20</f>
        <v>0.5291666667</v>
      </c>
      <c r="J324" s="125">
        <f t="shared" si="7"/>
        <v>0.1684385876</v>
      </c>
      <c r="K324" s="51"/>
      <c r="L324" s="51"/>
      <c r="M324" s="51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  <c r="BV324" s="54"/>
      <c r="BW324" s="54"/>
      <c r="BX324" s="54"/>
      <c r="BY324" s="54"/>
      <c r="BZ324" s="54"/>
      <c r="CA324" s="54"/>
      <c r="CB324" s="54"/>
      <c r="CC324" s="54"/>
      <c r="CD324" s="54"/>
      <c r="CE324" s="54"/>
      <c r="CF324" s="54"/>
      <c r="CG324" s="54"/>
      <c r="CH324" s="54"/>
      <c r="CI324" s="54"/>
      <c r="CJ324" s="54"/>
      <c r="CK324" s="54"/>
      <c r="CL324" s="54"/>
      <c r="CM324" s="54"/>
      <c r="CN324" s="54"/>
      <c r="CO324" s="54"/>
      <c r="CP324" s="54"/>
      <c r="CQ324" s="54"/>
      <c r="CR324" s="54"/>
      <c r="CS324" s="54"/>
      <c r="CT324" s="54"/>
      <c r="CU324" s="54"/>
    </row>
    <row r="325" ht="15.75" customHeight="1">
      <c r="A325" s="51"/>
      <c r="B325" s="316" t="s">
        <v>763</v>
      </c>
      <c r="C325" s="189">
        <f>Standing!$C$136*0.5</f>
        <v>1</v>
      </c>
      <c r="D325" s="218">
        <f t="shared" si="3"/>
        <v>0.3183091418</v>
      </c>
      <c r="E325" s="190">
        <f t="shared" si="12"/>
        <v>25.4</v>
      </c>
      <c r="F325" s="122">
        <f t="shared" si="13"/>
        <v>8.085052203</v>
      </c>
      <c r="G325" s="123">
        <f>C325/Introduction!$I$20</f>
        <v>0.01041666667</v>
      </c>
      <c r="H325" s="192">
        <f t="shared" si="6"/>
        <v>0.003315720227</v>
      </c>
      <c r="I325" s="124">
        <f>E325/Introduction!$I$20</f>
        <v>0.2645833333</v>
      </c>
      <c r="J325" s="125">
        <f t="shared" si="7"/>
        <v>0.08421929378</v>
      </c>
      <c r="K325" s="51"/>
      <c r="L325" s="51"/>
      <c r="M325" s="51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54"/>
      <c r="CH325" s="54"/>
      <c r="CI325" s="54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</row>
    <row r="326" ht="15.75" customHeight="1">
      <c r="A326" s="51"/>
      <c r="B326" s="316" t="s">
        <v>764</v>
      </c>
      <c r="C326" s="189">
        <f>Standing!$C$136*0.6</f>
        <v>1.2</v>
      </c>
      <c r="D326" s="218">
        <f t="shared" si="3"/>
        <v>0.3819709702</v>
      </c>
      <c r="E326" s="190">
        <f t="shared" si="12"/>
        <v>30.48</v>
      </c>
      <c r="F326" s="122">
        <f t="shared" si="13"/>
        <v>9.702062643</v>
      </c>
      <c r="G326" s="123">
        <f>C326/Introduction!$I$20</f>
        <v>0.0125</v>
      </c>
      <c r="H326" s="192">
        <f t="shared" si="6"/>
        <v>0.003978864273</v>
      </c>
      <c r="I326" s="124">
        <f>E326/Introduction!$I$20</f>
        <v>0.3175</v>
      </c>
      <c r="J326" s="125">
        <f t="shared" si="7"/>
        <v>0.1010631525</v>
      </c>
      <c r="K326" s="51"/>
      <c r="L326" s="51"/>
      <c r="M326" s="51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  <c r="BV326" s="54"/>
      <c r="BW326" s="54"/>
      <c r="BX326" s="54"/>
      <c r="BY326" s="54"/>
      <c r="BZ326" s="54"/>
      <c r="CA326" s="54"/>
      <c r="CB326" s="54"/>
      <c r="CC326" s="54"/>
      <c r="CD326" s="54"/>
      <c r="CE326" s="54"/>
      <c r="CF326" s="54"/>
      <c r="CG326" s="54"/>
      <c r="CH326" s="54"/>
      <c r="CI326" s="54"/>
      <c r="CJ326" s="54"/>
      <c r="CK326" s="54"/>
      <c r="CL326" s="54"/>
      <c r="CM326" s="54"/>
      <c r="CN326" s="54"/>
      <c r="CO326" s="54"/>
      <c r="CP326" s="54"/>
      <c r="CQ326" s="54"/>
      <c r="CR326" s="54"/>
      <c r="CS326" s="54"/>
      <c r="CT326" s="54"/>
      <c r="CU326" s="54"/>
    </row>
    <row r="327" ht="15.75" customHeight="1">
      <c r="A327" s="51"/>
      <c r="B327" s="316" t="s">
        <v>765</v>
      </c>
      <c r="C327" s="189">
        <f>Standing!C136*0.55</f>
        <v>1.1</v>
      </c>
      <c r="D327" s="218">
        <f t="shared" si="3"/>
        <v>0.350140056</v>
      </c>
      <c r="E327" s="190">
        <f t="shared" si="12"/>
        <v>27.94</v>
      </c>
      <c r="F327" s="122">
        <f t="shared" si="13"/>
        <v>8.893557423</v>
      </c>
      <c r="G327" s="123">
        <f>C327/Introduction!$I$20</f>
        <v>0.01145833333</v>
      </c>
      <c r="H327" s="192">
        <f t="shared" si="6"/>
        <v>0.00364729225</v>
      </c>
      <c r="I327" s="124">
        <f>E327/Introduction!$I$20</f>
        <v>0.2910416667</v>
      </c>
      <c r="J327" s="125">
        <f t="shared" si="7"/>
        <v>0.09264122316</v>
      </c>
      <c r="K327" s="51"/>
      <c r="L327" s="51"/>
      <c r="M327" s="51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  <c r="BV327" s="54"/>
      <c r="BW327" s="54"/>
      <c r="BX327" s="54"/>
      <c r="BY327" s="54"/>
      <c r="BZ327" s="54"/>
      <c r="CA327" s="54"/>
      <c r="CB327" s="54"/>
      <c r="CC327" s="54"/>
      <c r="CD327" s="54"/>
      <c r="CE327" s="54"/>
      <c r="CF327" s="54"/>
      <c r="CG327" s="54"/>
      <c r="CH327" s="54"/>
      <c r="CI327" s="54"/>
      <c r="CJ327" s="54"/>
      <c r="CK327" s="54"/>
      <c r="CL327" s="54"/>
      <c r="CM327" s="54"/>
      <c r="CN327" s="54"/>
      <c r="CO327" s="54"/>
      <c r="CP327" s="54"/>
      <c r="CQ327" s="54"/>
      <c r="CR327" s="54"/>
      <c r="CS327" s="54"/>
      <c r="CT327" s="54"/>
      <c r="CU327" s="54"/>
    </row>
    <row r="328" ht="15.75" customHeight="1">
      <c r="A328" s="51"/>
      <c r="B328" s="316" t="s">
        <v>766</v>
      </c>
      <c r="C328" s="189">
        <f>Standing!$C$136*0.8</f>
        <v>1.6</v>
      </c>
      <c r="D328" s="218">
        <f t="shared" si="3"/>
        <v>0.5092946269</v>
      </c>
      <c r="E328" s="190">
        <f t="shared" si="12"/>
        <v>40.64</v>
      </c>
      <c r="F328" s="122">
        <f t="shared" si="13"/>
        <v>12.93608352</v>
      </c>
      <c r="G328" s="123">
        <f>C328/Introduction!$I$20</f>
        <v>0.01666666667</v>
      </c>
      <c r="H328" s="192">
        <f t="shared" si="6"/>
        <v>0.005305152364</v>
      </c>
      <c r="I328" s="124">
        <f>E328/Introduction!$I$20</f>
        <v>0.4233333333</v>
      </c>
      <c r="J328" s="125">
        <f t="shared" si="7"/>
        <v>0.13475087</v>
      </c>
      <c r="K328" s="51"/>
      <c r="L328" s="51"/>
      <c r="M328" s="51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  <c r="BV328" s="54"/>
      <c r="BW328" s="54"/>
      <c r="BX328" s="54"/>
      <c r="BY328" s="54"/>
      <c r="BZ328" s="54"/>
      <c r="CA328" s="54"/>
      <c r="CB328" s="54"/>
      <c r="CC328" s="54"/>
      <c r="CD328" s="54"/>
      <c r="CE328" s="54"/>
      <c r="CF328" s="54"/>
      <c r="CG328" s="54"/>
      <c r="CH328" s="54"/>
      <c r="CI328" s="54"/>
      <c r="CJ328" s="54"/>
      <c r="CK328" s="54"/>
      <c r="CL328" s="54"/>
      <c r="CM328" s="54"/>
      <c r="CN328" s="54"/>
      <c r="CO328" s="54"/>
      <c r="CP328" s="54"/>
      <c r="CQ328" s="54"/>
      <c r="CR328" s="54"/>
      <c r="CS328" s="54"/>
      <c r="CT328" s="54"/>
      <c r="CU328" s="54"/>
    </row>
    <row r="329" ht="15.75" customHeight="1">
      <c r="A329" s="51"/>
      <c r="B329" s="316" t="s">
        <v>767</v>
      </c>
      <c r="C329" s="189">
        <f>Standing!$C$136*0.5</f>
        <v>1</v>
      </c>
      <c r="D329" s="218">
        <f t="shared" si="3"/>
        <v>0.3183091418</v>
      </c>
      <c r="E329" s="190">
        <f t="shared" si="12"/>
        <v>25.4</v>
      </c>
      <c r="F329" s="122">
        <f t="shared" si="13"/>
        <v>8.085052203</v>
      </c>
      <c r="G329" s="123">
        <f>C329/Introduction!$I$20</f>
        <v>0.01041666667</v>
      </c>
      <c r="H329" s="192">
        <f t="shared" si="6"/>
        <v>0.003315720227</v>
      </c>
      <c r="I329" s="124">
        <f>E329/Introduction!$I$20</f>
        <v>0.2645833333</v>
      </c>
      <c r="J329" s="125">
        <f t="shared" si="7"/>
        <v>0.08421929378</v>
      </c>
      <c r="K329" s="51"/>
      <c r="L329" s="51"/>
      <c r="M329" s="51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  <c r="BV329" s="54"/>
      <c r="BW329" s="54"/>
      <c r="BX329" s="54"/>
      <c r="BY329" s="54"/>
      <c r="BZ329" s="54"/>
      <c r="CA329" s="54"/>
      <c r="CB329" s="54"/>
      <c r="CC329" s="54"/>
      <c r="CD329" s="54"/>
      <c r="CE329" s="54"/>
      <c r="CF329" s="54"/>
      <c r="CG329" s="54"/>
      <c r="CH329" s="54"/>
      <c r="CI329" s="54"/>
      <c r="CJ329" s="54"/>
      <c r="CK329" s="54"/>
      <c r="CL329" s="54"/>
      <c r="CM329" s="54"/>
      <c r="CN329" s="54"/>
      <c r="CO329" s="54"/>
      <c r="CP329" s="54"/>
      <c r="CQ329" s="54"/>
      <c r="CR329" s="54"/>
      <c r="CS329" s="54"/>
      <c r="CT329" s="54"/>
      <c r="CU329" s="54"/>
    </row>
    <row r="330" ht="15.75" customHeight="1">
      <c r="A330" s="51"/>
      <c r="B330" s="316" t="s">
        <v>768</v>
      </c>
      <c r="C330" s="189">
        <f>Standing!$C$136*0.33</f>
        <v>0.66</v>
      </c>
      <c r="D330" s="218">
        <f t="shared" si="3"/>
        <v>0.2100840336</v>
      </c>
      <c r="E330" s="190">
        <f t="shared" si="12"/>
        <v>16.764</v>
      </c>
      <c r="F330" s="122">
        <f t="shared" si="13"/>
        <v>5.336134454</v>
      </c>
      <c r="G330" s="123">
        <f>C330/Introduction!$I$20</f>
        <v>0.006875</v>
      </c>
      <c r="H330" s="192">
        <f t="shared" si="6"/>
        <v>0.00218837535</v>
      </c>
      <c r="I330" s="124">
        <f>E330/Introduction!$I$20</f>
        <v>0.174625</v>
      </c>
      <c r="J330" s="125">
        <f t="shared" si="7"/>
        <v>0.05558473389</v>
      </c>
      <c r="K330" s="51"/>
      <c r="L330" s="51"/>
      <c r="M330" s="51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  <c r="BV330" s="54"/>
      <c r="BW330" s="54"/>
      <c r="BX330" s="54"/>
      <c r="BY330" s="54"/>
      <c r="BZ330" s="54"/>
      <c r="CA330" s="54"/>
      <c r="CB330" s="54"/>
      <c r="CC330" s="54"/>
      <c r="CD330" s="54"/>
      <c r="CE330" s="54"/>
      <c r="CF330" s="54"/>
      <c r="CG330" s="54"/>
      <c r="CH330" s="54"/>
      <c r="CI330" s="54"/>
      <c r="CJ330" s="54"/>
      <c r="CK330" s="54"/>
      <c r="CL330" s="54"/>
      <c r="CM330" s="54"/>
      <c r="CN330" s="54"/>
      <c r="CO330" s="54"/>
      <c r="CP330" s="54"/>
      <c r="CQ330" s="54"/>
      <c r="CR330" s="54"/>
      <c r="CS330" s="54"/>
      <c r="CT330" s="54"/>
      <c r="CU330" s="54"/>
    </row>
    <row r="331" ht="15.75" customHeight="1">
      <c r="A331" s="51"/>
      <c r="B331" s="316" t="s">
        <v>769</v>
      </c>
      <c r="C331" s="189">
        <f>Standing!$C$136*0.6</f>
        <v>1.2</v>
      </c>
      <c r="D331" s="218">
        <f t="shared" si="3"/>
        <v>0.3819709702</v>
      </c>
      <c r="E331" s="190">
        <f t="shared" si="12"/>
        <v>30.48</v>
      </c>
      <c r="F331" s="122">
        <f t="shared" si="13"/>
        <v>9.702062643</v>
      </c>
      <c r="G331" s="123">
        <f>C331/Introduction!$I$20</f>
        <v>0.0125</v>
      </c>
      <c r="H331" s="192">
        <f t="shared" si="6"/>
        <v>0.003978864273</v>
      </c>
      <c r="I331" s="124">
        <f>E331/Introduction!$I$20</f>
        <v>0.3175</v>
      </c>
      <c r="J331" s="125">
        <f t="shared" si="7"/>
        <v>0.1010631525</v>
      </c>
      <c r="K331" s="51"/>
      <c r="L331" s="51"/>
      <c r="M331" s="51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  <c r="BV331" s="54"/>
      <c r="BW331" s="54"/>
      <c r="BX331" s="54"/>
      <c r="BY331" s="54"/>
      <c r="BZ331" s="54"/>
      <c r="CA331" s="54"/>
      <c r="CB331" s="54"/>
      <c r="CC331" s="54"/>
      <c r="CD331" s="54"/>
      <c r="CE331" s="54"/>
      <c r="CF331" s="54"/>
      <c r="CG331" s="54"/>
      <c r="CH331" s="54"/>
      <c r="CI331" s="54"/>
      <c r="CJ331" s="54"/>
      <c r="CK331" s="54"/>
      <c r="CL331" s="54"/>
      <c r="CM331" s="54"/>
      <c r="CN331" s="54"/>
      <c r="CO331" s="54"/>
      <c r="CP331" s="54"/>
      <c r="CQ331" s="54"/>
      <c r="CR331" s="54"/>
      <c r="CS331" s="54"/>
      <c r="CT331" s="54"/>
      <c r="CU331" s="54"/>
    </row>
    <row r="332" ht="15.75" customHeight="1">
      <c r="A332" s="51"/>
      <c r="B332" s="316" t="s">
        <v>770</v>
      </c>
      <c r="C332" s="189">
        <f>Standing!$C$136*0.6</f>
        <v>1.2</v>
      </c>
      <c r="D332" s="218">
        <f t="shared" si="3"/>
        <v>0.3819709702</v>
      </c>
      <c r="E332" s="190">
        <f t="shared" si="12"/>
        <v>30.48</v>
      </c>
      <c r="F332" s="122">
        <f t="shared" si="13"/>
        <v>9.702062643</v>
      </c>
      <c r="G332" s="123">
        <f>C332/Introduction!$I$20</f>
        <v>0.0125</v>
      </c>
      <c r="H332" s="192">
        <f t="shared" si="6"/>
        <v>0.003978864273</v>
      </c>
      <c r="I332" s="124">
        <f>E332/Introduction!$I$20</f>
        <v>0.3175</v>
      </c>
      <c r="J332" s="125">
        <f t="shared" si="7"/>
        <v>0.1010631525</v>
      </c>
      <c r="K332" s="51"/>
      <c r="L332" s="51"/>
      <c r="M332" s="51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  <c r="BV332" s="54"/>
      <c r="BW332" s="54"/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  <c r="CH332" s="54"/>
      <c r="CI332" s="54"/>
      <c r="CJ332" s="54"/>
      <c r="CK332" s="54"/>
      <c r="CL332" s="54"/>
      <c r="CM332" s="54"/>
      <c r="CN332" s="54"/>
      <c r="CO332" s="54"/>
      <c r="CP332" s="54"/>
      <c r="CQ332" s="54"/>
      <c r="CR332" s="54"/>
      <c r="CS332" s="54"/>
      <c r="CT332" s="54"/>
      <c r="CU332" s="54"/>
    </row>
    <row r="333" ht="15.75" customHeight="1">
      <c r="A333" s="51"/>
      <c r="B333" s="316" t="s">
        <v>771</v>
      </c>
      <c r="C333" s="189">
        <f>Standing!$C$136</f>
        <v>2</v>
      </c>
      <c r="D333" s="218">
        <f t="shared" si="3"/>
        <v>0.6366182837</v>
      </c>
      <c r="E333" s="190">
        <f t="shared" si="12"/>
        <v>50.8</v>
      </c>
      <c r="F333" s="122">
        <f t="shared" si="13"/>
        <v>16.17010441</v>
      </c>
      <c r="G333" s="123">
        <f>C333/Introduction!$I$20</f>
        <v>0.02083333333</v>
      </c>
      <c r="H333" s="192">
        <f t="shared" si="6"/>
        <v>0.006631440455</v>
      </c>
      <c r="I333" s="124">
        <f>E333/Introduction!$I$20</f>
        <v>0.5291666667</v>
      </c>
      <c r="J333" s="125">
        <f t="shared" si="7"/>
        <v>0.1684385876</v>
      </c>
      <c r="K333" s="51"/>
      <c r="L333" s="51"/>
      <c r="M333" s="51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  <c r="BV333" s="54"/>
      <c r="BW333" s="54"/>
      <c r="BX333" s="54"/>
      <c r="BY333" s="54"/>
      <c r="BZ333" s="54"/>
      <c r="CA333" s="54"/>
      <c r="CB333" s="54"/>
      <c r="CC333" s="54"/>
      <c r="CD333" s="54"/>
      <c r="CE333" s="54"/>
      <c r="CF333" s="54"/>
      <c r="CG333" s="54"/>
      <c r="CH333" s="54"/>
      <c r="CI333" s="54"/>
      <c r="CJ333" s="54"/>
      <c r="CK333" s="54"/>
      <c r="CL333" s="54"/>
      <c r="CM333" s="54"/>
      <c r="CN333" s="54"/>
      <c r="CO333" s="54"/>
      <c r="CP333" s="54"/>
      <c r="CQ333" s="54"/>
      <c r="CR333" s="54"/>
      <c r="CS333" s="54"/>
      <c r="CT333" s="54"/>
      <c r="CU333" s="54"/>
    </row>
    <row r="334" ht="15.75" customHeight="1">
      <c r="A334" s="51"/>
      <c r="B334" s="316" t="s">
        <v>772</v>
      </c>
      <c r="C334" s="189">
        <f>Standing!$C$136*0.8</f>
        <v>1.6</v>
      </c>
      <c r="D334" s="218">
        <f t="shared" si="3"/>
        <v>0.5092946269</v>
      </c>
      <c r="E334" s="190">
        <f t="shared" si="12"/>
        <v>40.64</v>
      </c>
      <c r="F334" s="122">
        <f t="shared" si="13"/>
        <v>12.93608352</v>
      </c>
      <c r="G334" s="123">
        <f>C334/Introduction!$I$20</f>
        <v>0.01666666667</v>
      </c>
      <c r="H334" s="192">
        <f t="shared" si="6"/>
        <v>0.005305152364</v>
      </c>
      <c r="I334" s="124">
        <f>E334/Introduction!$I$20</f>
        <v>0.4233333333</v>
      </c>
      <c r="J334" s="125">
        <f t="shared" si="7"/>
        <v>0.13475087</v>
      </c>
      <c r="K334" s="51"/>
      <c r="L334" s="51"/>
      <c r="M334" s="51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  <c r="BV334" s="54"/>
      <c r="BW334" s="54"/>
      <c r="BX334" s="54"/>
      <c r="BY334" s="54"/>
      <c r="BZ334" s="54"/>
      <c r="CA334" s="54"/>
      <c r="CB334" s="54"/>
      <c r="CC334" s="54"/>
      <c r="CD334" s="54"/>
      <c r="CE334" s="54"/>
      <c r="CF334" s="54"/>
      <c r="CG334" s="54"/>
      <c r="CH334" s="54"/>
      <c r="CI334" s="54"/>
      <c r="CJ334" s="54"/>
      <c r="CK334" s="54"/>
      <c r="CL334" s="54"/>
      <c r="CM334" s="54"/>
      <c r="CN334" s="54"/>
      <c r="CO334" s="54"/>
      <c r="CP334" s="54"/>
      <c r="CQ334" s="54"/>
      <c r="CR334" s="54"/>
      <c r="CS334" s="54"/>
      <c r="CT334" s="54"/>
      <c r="CU334" s="54"/>
    </row>
    <row r="335" ht="15.75" customHeight="1">
      <c r="A335" s="51"/>
      <c r="B335" s="316" t="s">
        <v>773</v>
      </c>
      <c r="C335" s="189">
        <f>IF(Standing!$C$136*0.5&gt;1.5,Standing!$C$136*0.5,1.5)</f>
        <v>1.5</v>
      </c>
      <c r="D335" s="218">
        <f t="shared" si="3"/>
        <v>0.4774637128</v>
      </c>
      <c r="E335" s="190">
        <f t="shared" si="12"/>
        <v>38.1</v>
      </c>
      <c r="F335" s="122">
        <f t="shared" si="13"/>
        <v>12.1275783</v>
      </c>
      <c r="G335" s="123">
        <f>C335/Introduction!$I$20</f>
        <v>0.015625</v>
      </c>
      <c r="H335" s="192">
        <f t="shared" si="6"/>
        <v>0.004973580341</v>
      </c>
      <c r="I335" s="124">
        <f>E335/Introduction!$I$20</f>
        <v>0.396875</v>
      </c>
      <c r="J335" s="125">
        <f t="shared" si="7"/>
        <v>0.1263289407</v>
      </c>
      <c r="K335" s="51"/>
      <c r="L335" s="51"/>
      <c r="M335" s="51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  <c r="BV335" s="54"/>
      <c r="BW335" s="54"/>
      <c r="BX335" s="54"/>
      <c r="BY335" s="54"/>
      <c r="BZ335" s="54"/>
      <c r="CA335" s="54"/>
      <c r="CB335" s="54"/>
      <c r="CC335" s="54"/>
      <c r="CD335" s="54"/>
      <c r="CE335" s="54"/>
      <c r="CF335" s="54"/>
      <c r="CG335" s="54"/>
      <c r="CH335" s="54"/>
      <c r="CI335" s="54"/>
      <c r="CJ335" s="54"/>
      <c r="CK335" s="54"/>
      <c r="CL335" s="54"/>
      <c r="CM335" s="54"/>
      <c r="CN335" s="54"/>
      <c r="CO335" s="54"/>
      <c r="CP335" s="54"/>
      <c r="CQ335" s="54"/>
      <c r="CR335" s="54"/>
      <c r="CS335" s="54"/>
      <c r="CT335" s="54"/>
      <c r="CU335" s="54"/>
    </row>
    <row r="336" ht="15.75" customHeight="1">
      <c r="A336" s="51"/>
      <c r="B336" s="316" t="s">
        <v>774</v>
      </c>
      <c r="C336" s="189">
        <f>IF(Standing!$C$136*0.165&gt;1,Standing!$C$136*0.165,1)</f>
        <v>1</v>
      </c>
      <c r="D336" s="218">
        <f t="shared" si="3"/>
        <v>0.3183091418</v>
      </c>
      <c r="E336" s="190">
        <f t="shared" si="12"/>
        <v>25.4</v>
      </c>
      <c r="F336" s="122">
        <f t="shared" si="13"/>
        <v>8.085052203</v>
      </c>
      <c r="G336" s="123">
        <f>C336/Introduction!$I$20</f>
        <v>0.01041666667</v>
      </c>
      <c r="H336" s="192">
        <f t="shared" si="6"/>
        <v>0.003315720227</v>
      </c>
      <c r="I336" s="124">
        <f>E336/Introduction!$I$20</f>
        <v>0.2645833333</v>
      </c>
      <c r="J336" s="125">
        <f t="shared" si="7"/>
        <v>0.08421929378</v>
      </c>
      <c r="K336" s="51"/>
      <c r="L336" s="51"/>
      <c r="M336" s="51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  <c r="BV336" s="54"/>
      <c r="BW336" s="54"/>
      <c r="BX336" s="54"/>
      <c r="BY336" s="54"/>
      <c r="BZ336" s="54"/>
      <c r="CA336" s="54"/>
      <c r="CB336" s="54"/>
      <c r="CC336" s="54"/>
      <c r="CD336" s="54"/>
      <c r="CE336" s="54"/>
      <c r="CF336" s="54"/>
      <c r="CG336" s="54"/>
      <c r="CH336" s="54"/>
      <c r="CI336" s="54"/>
      <c r="CJ336" s="54"/>
      <c r="CK336" s="54"/>
      <c r="CL336" s="54"/>
      <c r="CM336" s="54"/>
      <c r="CN336" s="54"/>
      <c r="CO336" s="54"/>
      <c r="CP336" s="54"/>
      <c r="CQ336" s="54"/>
      <c r="CR336" s="54"/>
      <c r="CS336" s="54"/>
      <c r="CT336" s="54"/>
      <c r="CU336" s="54"/>
    </row>
    <row r="337" ht="15.75" customHeight="1">
      <c r="A337" s="51"/>
      <c r="B337" s="317" t="s">
        <v>775</v>
      </c>
      <c r="C337" s="189">
        <f>Standing!$C$137</f>
        <v>2</v>
      </c>
      <c r="D337" s="218">
        <f t="shared" si="3"/>
        <v>0.6366182837</v>
      </c>
      <c r="E337" s="190">
        <f t="shared" si="12"/>
        <v>50.8</v>
      </c>
      <c r="F337" s="122">
        <f t="shared" si="13"/>
        <v>16.17010441</v>
      </c>
      <c r="G337" s="123">
        <f>C337/Introduction!$I$20</f>
        <v>0.02083333333</v>
      </c>
      <c r="H337" s="192">
        <f t="shared" si="6"/>
        <v>0.006631440455</v>
      </c>
      <c r="I337" s="124">
        <f>E337/Introduction!$I$20</f>
        <v>0.5291666667</v>
      </c>
      <c r="J337" s="125">
        <f t="shared" si="7"/>
        <v>0.1684385876</v>
      </c>
      <c r="K337" s="51"/>
      <c r="L337" s="51"/>
      <c r="M337" s="51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  <c r="BV337" s="54"/>
      <c r="BW337" s="54"/>
      <c r="BX337" s="54"/>
      <c r="BY337" s="54"/>
      <c r="BZ337" s="54"/>
      <c r="CA337" s="54"/>
      <c r="CB337" s="54"/>
      <c r="CC337" s="54"/>
      <c r="CD337" s="54"/>
      <c r="CE337" s="54"/>
      <c r="CF337" s="54"/>
      <c r="CG337" s="54"/>
      <c r="CH337" s="54"/>
      <c r="CI337" s="54"/>
      <c r="CJ337" s="54"/>
      <c r="CK337" s="54"/>
      <c r="CL337" s="54"/>
      <c r="CM337" s="54"/>
      <c r="CN337" s="54"/>
      <c r="CO337" s="54"/>
      <c r="CP337" s="54"/>
      <c r="CQ337" s="54"/>
      <c r="CR337" s="54"/>
      <c r="CS337" s="54"/>
      <c r="CT337" s="54"/>
      <c r="CU337" s="54"/>
    </row>
    <row r="338" ht="15.75" customHeight="1">
      <c r="A338" s="51"/>
      <c r="B338" s="316" t="s">
        <v>776</v>
      </c>
      <c r="C338" s="189">
        <f>Standing!$C$137*0.5</f>
        <v>1</v>
      </c>
      <c r="D338" s="218">
        <f t="shared" si="3"/>
        <v>0.3183091418</v>
      </c>
      <c r="E338" s="190">
        <f t="shared" si="12"/>
        <v>25.4</v>
      </c>
      <c r="F338" s="122">
        <f t="shared" si="13"/>
        <v>8.085052203</v>
      </c>
      <c r="G338" s="123">
        <f>C338/Introduction!$I$20</f>
        <v>0.01041666667</v>
      </c>
      <c r="H338" s="192">
        <f t="shared" si="6"/>
        <v>0.003315720227</v>
      </c>
      <c r="I338" s="124">
        <f>E338/Introduction!$I$20</f>
        <v>0.2645833333</v>
      </c>
      <c r="J338" s="125">
        <f t="shared" si="7"/>
        <v>0.08421929378</v>
      </c>
      <c r="K338" s="51"/>
      <c r="L338" s="51"/>
      <c r="M338" s="51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  <c r="BV338" s="54"/>
      <c r="BW338" s="54"/>
      <c r="BX338" s="54"/>
      <c r="BY338" s="54"/>
      <c r="BZ338" s="54"/>
      <c r="CA338" s="54"/>
      <c r="CB338" s="54"/>
      <c r="CC338" s="54"/>
      <c r="CD338" s="54"/>
      <c r="CE338" s="54"/>
      <c r="CF338" s="54"/>
      <c r="CG338" s="54"/>
      <c r="CH338" s="54"/>
      <c r="CI338" s="54"/>
      <c r="CJ338" s="54"/>
      <c r="CK338" s="54"/>
      <c r="CL338" s="54"/>
      <c r="CM338" s="54"/>
      <c r="CN338" s="54"/>
      <c r="CO338" s="54"/>
      <c r="CP338" s="54"/>
      <c r="CQ338" s="54"/>
      <c r="CR338" s="54"/>
      <c r="CS338" s="54"/>
      <c r="CT338" s="54"/>
      <c r="CU338" s="54"/>
    </row>
    <row r="339" ht="15.75" customHeight="1">
      <c r="A339" s="51"/>
      <c r="B339" s="316" t="s">
        <v>777</v>
      </c>
      <c r="C339" s="189">
        <f>Standing!$C$137*0.75</f>
        <v>1.5</v>
      </c>
      <c r="D339" s="218">
        <f t="shared" si="3"/>
        <v>0.4774637128</v>
      </c>
      <c r="E339" s="190">
        <f t="shared" si="12"/>
        <v>38.1</v>
      </c>
      <c r="F339" s="122">
        <f t="shared" si="13"/>
        <v>12.1275783</v>
      </c>
      <c r="G339" s="123">
        <f>C339/Introduction!$I$20</f>
        <v>0.015625</v>
      </c>
      <c r="H339" s="192">
        <f t="shared" si="6"/>
        <v>0.004973580341</v>
      </c>
      <c r="I339" s="124">
        <f>E339/Introduction!$I$20</f>
        <v>0.396875</v>
      </c>
      <c r="J339" s="125">
        <f t="shared" si="7"/>
        <v>0.1263289407</v>
      </c>
      <c r="K339" s="51"/>
      <c r="L339" s="51"/>
      <c r="M339" s="51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  <c r="BV339" s="54"/>
      <c r="BW339" s="54"/>
      <c r="BX339" s="54"/>
      <c r="BY339" s="54"/>
      <c r="BZ339" s="54"/>
      <c r="CA339" s="54"/>
      <c r="CB339" s="54"/>
      <c r="CC339" s="54"/>
      <c r="CD339" s="54"/>
      <c r="CE339" s="54"/>
      <c r="CF339" s="54"/>
      <c r="CG339" s="54"/>
      <c r="CH339" s="54"/>
      <c r="CI339" s="54"/>
      <c r="CJ339" s="54"/>
      <c r="CK339" s="54"/>
      <c r="CL339" s="54"/>
      <c r="CM339" s="54"/>
      <c r="CN339" s="54"/>
      <c r="CO339" s="54"/>
      <c r="CP339" s="54"/>
      <c r="CQ339" s="54"/>
      <c r="CR339" s="54"/>
      <c r="CS339" s="54"/>
      <c r="CT339" s="54"/>
      <c r="CU339" s="54"/>
    </row>
    <row r="340" ht="15.75" customHeight="1">
      <c r="A340" s="51"/>
      <c r="B340" s="316" t="s">
        <v>778</v>
      </c>
      <c r="C340" s="189">
        <f>Standing!$C$137*0.75</f>
        <v>1.5</v>
      </c>
      <c r="D340" s="218">
        <f t="shared" si="3"/>
        <v>0.4774637128</v>
      </c>
      <c r="E340" s="190">
        <f t="shared" si="12"/>
        <v>38.1</v>
      </c>
      <c r="F340" s="122">
        <f t="shared" si="13"/>
        <v>12.1275783</v>
      </c>
      <c r="G340" s="123">
        <f>C340/Introduction!$I$20</f>
        <v>0.015625</v>
      </c>
      <c r="H340" s="192">
        <f t="shared" si="6"/>
        <v>0.004973580341</v>
      </c>
      <c r="I340" s="124">
        <f>E340/Introduction!$I$20</f>
        <v>0.396875</v>
      </c>
      <c r="J340" s="125">
        <f t="shared" si="7"/>
        <v>0.1263289407</v>
      </c>
      <c r="K340" s="51"/>
      <c r="L340" s="51"/>
      <c r="M340" s="51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</row>
    <row r="341" ht="15.75" customHeight="1">
      <c r="A341" s="51"/>
      <c r="B341" s="316" t="s">
        <v>779</v>
      </c>
      <c r="C341" s="189">
        <f>Standing!$C$137*0.5</f>
        <v>1</v>
      </c>
      <c r="D341" s="218">
        <f t="shared" si="3"/>
        <v>0.3183091418</v>
      </c>
      <c r="E341" s="190">
        <f t="shared" si="12"/>
        <v>25.4</v>
      </c>
      <c r="F341" s="122">
        <f t="shared" si="13"/>
        <v>8.085052203</v>
      </c>
      <c r="G341" s="123">
        <f>C341/Introduction!$I$20</f>
        <v>0.01041666667</v>
      </c>
      <c r="H341" s="192">
        <f t="shared" si="6"/>
        <v>0.003315720227</v>
      </c>
      <c r="I341" s="124">
        <f>E341/Introduction!$I$20</f>
        <v>0.2645833333</v>
      </c>
      <c r="J341" s="125">
        <f t="shared" si="7"/>
        <v>0.08421929378</v>
      </c>
      <c r="K341" s="51"/>
      <c r="L341" s="51"/>
      <c r="M341" s="51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</row>
    <row r="342" ht="15.75" customHeight="1">
      <c r="A342" s="51"/>
      <c r="B342" s="316" t="s">
        <v>780</v>
      </c>
      <c r="C342" s="189">
        <f>Standing!$C$137*0.6</f>
        <v>1.2</v>
      </c>
      <c r="D342" s="218">
        <f t="shared" si="3"/>
        <v>0.3819709702</v>
      </c>
      <c r="E342" s="190">
        <f t="shared" si="12"/>
        <v>30.48</v>
      </c>
      <c r="F342" s="122">
        <f t="shared" si="13"/>
        <v>9.702062643</v>
      </c>
      <c r="G342" s="123">
        <f>C342/Introduction!$I$20</f>
        <v>0.0125</v>
      </c>
      <c r="H342" s="192">
        <f t="shared" si="6"/>
        <v>0.003978864273</v>
      </c>
      <c r="I342" s="124">
        <f>E342/Introduction!$I$20</f>
        <v>0.3175</v>
      </c>
      <c r="J342" s="125">
        <f t="shared" si="7"/>
        <v>0.1010631525</v>
      </c>
      <c r="K342" s="51"/>
      <c r="L342" s="51"/>
      <c r="M342" s="51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</row>
    <row r="343" ht="15.75" customHeight="1">
      <c r="A343" s="51"/>
      <c r="B343" s="316" t="s">
        <v>781</v>
      </c>
      <c r="C343" s="189">
        <f>Standing!$C$137</f>
        <v>2</v>
      </c>
      <c r="D343" s="218">
        <f t="shared" si="3"/>
        <v>0.6366182837</v>
      </c>
      <c r="E343" s="190">
        <f t="shared" si="12"/>
        <v>50.8</v>
      </c>
      <c r="F343" s="122">
        <f t="shared" si="13"/>
        <v>16.17010441</v>
      </c>
      <c r="G343" s="123">
        <f>C343/Introduction!$I$20</f>
        <v>0.02083333333</v>
      </c>
      <c r="H343" s="192">
        <f t="shared" si="6"/>
        <v>0.006631440455</v>
      </c>
      <c r="I343" s="124">
        <f>E343/Introduction!$I$20</f>
        <v>0.5291666667</v>
      </c>
      <c r="J343" s="125">
        <f t="shared" si="7"/>
        <v>0.1684385876</v>
      </c>
      <c r="K343" s="51"/>
      <c r="L343" s="51"/>
      <c r="M343" s="51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</row>
    <row r="344" ht="15.75" customHeight="1">
      <c r="A344" s="51"/>
      <c r="B344" s="316" t="s">
        <v>782</v>
      </c>
      <c r="C344" s="189">
        <f>IF(Standing!$C$137*0.5&gt;1.5,Standing!$C$137*0.5,1.5)</f>
        <v>1.5</v>
      </c>
      <c r="D344" s="218">
        <f t="shared" si="3"/>
        <v>0.4774637128</v>
      </c>
      <c r="E344" s="190">
        <f t="shared" si="12"/>
        <v>38.1</v>
      </c>
      <c r="F344" s="122">
        <f t="shared" si="13"/>
        <v>12.1275783</v>
      </c>
      <c r="G344" s="123">
        <f>C344/Introduction!$I$20</f>
        <v>0.015625</v>
      </c>
      <c r="H344" s="192">
        <f t="shared" si="6"/>
        <v>0.004973580341</v>
      </c>
      <c r="I344" s="124">
        <f>E344/Introduction!$I$20</f>
        <v>0.396875</v>
      </c>
      <c r="J344" s="125">
        <f t="shared" si="7"/>
        <v>0.1263289407</v>
      </c>
      <c r="K344" s="51"/>
      <c r="L344" s="51"/>
      <c r="M344" s="51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  <c r="BV344" s="54"/>
      <c r="BW344" s="54"/>
      <c r="BX344" s="54"/>
      <c r="BY344" s="54"/>
      <c r="BZ344" s="54"/>
      <c r="CA344" s="54"/>
      <c r="CB344" s="54"/>
      <c r="CC344" s="54"/>
      <c r="CD344" s="54"/>
      <c r="CE344" s="54"/>
      <c r="CF344" s="54"/>
      <c r="CG344" s="54"/>
      <c r="CH344" s="54"/>
      <c r="CI344" s="54"/>
      <c r="CJ344" s="54"/>
      <c r="CK344" s="54"/>
      <c r="CL344" s="54"/>
      <c r="CM344" s="54"/>
      <c r="CN344" s="54"/>
      <c r="CO344" s="54"/>
      <c r="CP344" s="54"/>
      <c r="CQ344" s="54"/>
      <c r="CR344" s="54"/>
      <c r="CS344" s="54"/>
      <c r="CT344" s="54"/>
      <c r="CU344" s="54"/>
    </row>
    <row r="345" ht="15.75" customHeight="1">
      <c r="A345" s="51"/>
      <c r="B345" s="316" t="s">
        <v>783</v>
      </c>
      <c r="C345" s="189">
        <f>IF(Standing!$C$137*0.2&gt;1,Standing!$C$137*0.2,1)</f>
        <v>1</v>
      </c>
      <c r="D345" s="218">
        <f t="shared" si="3"/>
        <v>0.3183091418</v>
      </c>
      <c r="E345" s="190">
        <f t="shared" si="12"/>
        <v>25.4</v>
      </c>
      <c r="F345" s="122">
        <f t="shared" si="13"/>
        <v>8.085052203</v>
      </c>
      <c r="G345" s="123">
        <f>C345/Introduction!$I$20</f>
        <v>0.01041666667</v>
      </c>
      <c r="H345" s="192">
        <f t="shared" si="6"/>
        <v>0.003315720227</v>
      </c>
      <c r="I345" s="124">
        <f>E345/Introduction!$I$20</f>
        <v>0.2645833333</v>
      </c>
      <c r="J345" s="125">
        <f t="shared" si="7"/>
        <v>0.08421929378</v>
      </c>
      <c r="K345" s="51"/>
      <c r="L345" s="51"/>
      <c r="M345" s="51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  <c r="BV345" s="54"/>
      <c r="BW345" s="54"/>
      <c r="BX345" s="54"/>
      <c r="BY345" s="54"/>
      <c r="BZ345" s="54"/>
      <c r="CA345" s="54"/>
      <c r="CB345" s="54"/>
      <c r="CC345" s="54"/>
      <c r="CD345" s="54"/>
      <c r="CE345" s="54"/>
      <c r="CF345" s="54"/>
      <c r="CG345" s="54"/>
      <c r="CH345" s="54"/>
      <c r="CI345" s="54"/>
      <c r="CJ345" s="54"/>
      <c r="CK345" s="54"/>
      <c r="CL345" s="54"/>
      <c r="CM345" s="54"/>
      <c r="CN345" s="54"/>
      <c r="CO345" s="54"/>
      <c r="CP345" s="54"/>
      <c r="CQ345" s="54"/>
      <c r="CR345" s="54"/>
      <c r="CS345" s="54"/>
      <c r="CT345" s="54"/>
      <c r="CU345" s="54"/>
    </row>
    <row r="346" ht="15.75" customHeight="1">
      <c r="A346" s="51"/>
      <c r="B346" s="317" t="s">
        <v>784</v>
      </c>
      <c r="C346" s="189">
        <f>CK136</f>
        <v>2.038857687</v>
      </c>
      <c r="D346" s="218">
        <f t="shared" si="3"/>
        <v>0.6489870407</v>
      </c>
      <c r="E346" s="190">
        <f t="shared" si="12"/>
        <v>51.78698525</v>
      </c>
      <c r="F346" s="122">
        <f t="shared" si="13"/>
        <v>16.48427083</v>
      </c>
      <c r="G346" s="123">
        <f>C346/Introduction!$I$20</f>
        <v>0.02123810091</v>
      </c>
      <c r="H346" s="192">
        <f t="shared" si="6"/>
        <v>0.006760281674</v>
      </c>
      <c r="I346" s="124">
        <f>E346/Introduction!$I$20</f>
        <v>0.539447763</v>
      </c>
      <c r="J346" s="125">
        <f t="shared" si="7"/>
        <v>0.1717111545</v>
      </c>
      <c r="K346" s="51"/>
      <c r="L346" s="51"/>
      <c r="M346" s="51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  <c r="BV346" s="54"/>
      <c r="BW346" s="54"/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  <c r="CH346" s="54"/>
      <c r="CI346" s="54"/>
      <c r="CJ346" s="54"/>
      <c r="CK346" s="54"/>
      <c r="CL346" s="54"/>
      <c r="CM346" s="54"/>
      <c r="CN346" s="54"/>
      <c r="CO346" s="54"/>
      <c r="CP346" s="54"/>
      <c r="CQ346" s="54"/>
      <c r="CR346" s="54"/>
      <c r="CS346" s="54"/>
      <c r="CT346" s="54"/>
      <c r="CU346" s="54"/>
    </row>
    <row r="347" ht="15.75" customHeight="1">
      <c r="A347" s="51"/>
      <c r="B347" s="316" t="s">
        <v>785</v>
      </c>
      <c r="C347" s="189">
        <f>Standing!$C$126</f>
        <v>3.707013976</v>
      </c>
      <c r="D347" s="218">
        <f t="shared" si="3"/>
        <v>1.179976438</v>
      </c>
      <c r="E347" s="190">
        <f t="shared" si="12"/>
        <v>94.158155</v>
      </c>
      <c r="F347" s="122">
        <f t="shared" si="13"/>
        <v>29.97140152</v>
      </c>
      <c r="G347" s="123">
        <f>C347/Introduction!$I$20</f>
        <v>0.03861472892</v>
      </c>
      <c r="H347" s="192">
        <f t="shared" si="6"/>
        <v>0.01229142122</v>
      </c>
      <c r="I347" s="124">
        <f>E347/Introduction!$I$20</f>
        <v>0.9808141146</v>
      </c>
      <c r="J347" s="125">
        <f t="shared" si="7"/>
        <v>0.3122020991</v>
      </c>
      <c r="K347" s="51"/>
      <c r="L347" s="51"/>
      <c r="M347" s="51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  <c r="BV347" s="54"/>
      <c r="BW347" s="54"/>
      <c r="BX347" s="54"/>
      <c r="BY347" s="54"/>
      <c r="BZ347" s="54"/>
      <c r="CA347" s="54"/>
      <c r="CB347" s="54"/>
      <c r="CC347" s="54"/>
      <c r="CD347" s="54"/>
      <c r="CE347" s="54"/>
      <c r="CF347" s="54"/>
      <c r="CG347" s="54"/>
      <c r="CH347" s="54"/>
      <c r="CI347" s="54"/>
      <c r="CJ347" s="54"/>
      <c r="CK347" s="54"/>
      <c r="CL347" s="54"/>
      <c r="CM347" s="54"/>
      <c r="CN347" s="54"/>
      <c r="CO347" s="54"/>
      <c r="CP347" s="54"/>
      <c r="CQ347" s="54"/>
      <c r="CR347" s="54"/>
      <c r="CS347" s="54"/>
      <c r="CT347" s="54"/>
      <c r="CU347" s="54"/>
    </row>
    <row r="348" ht="15.75" customHeight="1">
      <c r="A348" s="51"/>
      <c r="B348" s="316" t="s">
        <v>786</v>
      </c>
      <c r="C348" s="189">
        <f>Standing!$C$126*0.55</f>
        <v>2.038857687</v>
      </c>
      <c r="D348" s="218">
        <f t="shared" si="3"/>
        <v>0.6489870407</v>
      </c>
      <c r="E348" s="190">
        <f t="shared" si="12"/>
        <v>51.78698525</v>
      </c>
      <c r="F348" s="122">
        <f t="shared" si="13"/>
        <v>16.48427083</v>
      </c>
      <c r="G348" s="123">
        <f>C348/Introduction!$I$20</f>
        <v>0.02123810091</v>
      </c>
      <c r="H348" s="192">
        <f t="shared" si="6"/>
        <v>0.006760281674</v>
      </c>
      <c r="I348" s="124">
        <f>E348/Introduction!$I$20</f>
        <v>0.539447763</v>
      </c>
      <c r="J348" s="125">
        <f t="shared" si="7"/>
        <v>0.1717111545</v>
      </c>
      <c r="K348" s="51"/>
      <c r="L348" s="51"/>
      <c r="M348" s="51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  <c r="BV348" s="54"/>
      <c r="BW348" s="54"/>
      <c r="BX348" s="54"/>
      <c r="BY348" s="54"/>
      <c r="BZ348" s="54"/>
      <c r="CA348" s="54"/>
      <c r="CB348" s="54"/>
      <c r="CC348" s="54"/>
      <c r="CD348" s="54"/>
      <c r="CE348" s="54"/>
      <c r="CF348" s="54"/>
      <c r="CG348" s="54"/>
      <c r="CH348" s="54"/>
      <c r="CI348" s="54"/>
      <c r="CJ348" s="54"/>
      <c r="CK348" s="54"/>
      <c r="CL348" s="54"/>
      <c r="CM348" s="54"/>
      <c r="CN348" s="54"/>
      <c r="CO348" s="54"/>
      <c r="CP348" s="54"/>
      <c r="CQ348" s="54"/>
      <c r="CR348" s="54"/>
      <c r="CS348" s="54"/>
      <c r="CT348" s="54"/>
      <c r="CU348" s="54"/>
    </row>
    <row r="349" ht="15.75" customHeight="1">
      <c r="A349" s="51"/>
      <c r="B349" s="316" t="s">
        <v>787</v>
      </c>
      <c r="C349" s="189">
        <f>CL136</f>
        <v>2.780260482</v>
      </c>
      <c r="D349" s="218">
        <f t="shared" si="3"/>
        <v>0.8849823282</v>
      </c>
      <c r="E349" s="190">
        <f t="shared" si="12"/>
        <v>70.61861625</v>
      </c>
      <c r="F349" s="122">
        <f t="shared" si="13"/>
        <v>22.47855114</v>
      </c>
      <c r="G349" s="123">
        <f>C349/Introduction!$I$20</f>
        <v>0.02896104669</v>
      </c>
      <c r="H349" s="192">
        <f t="shared" si="6"/>
        <v>0.009218565919</v>
      </c>
      <c r="I349" s="124">
        <f>E349/Introduction!$I$20</f>
        <v>0.7356105859</v>
      </c>
      <c r="J349" s="125">
        <f t="shared" si="7"/>
        <v>0.2341515743</v>
      </c>
      <c r="K349" s="51"/>
      <c r="L349" s="51"/>
      <c r="M349" s="51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  <c r="BV349" s="54"/>
      <c r="BW349" s="54"/>
      <c r="BX349" s="54"/>
      <c r="BY349" s="54"/>
      <c r="BZ349" s="54"/>
      <c r="CA349" s="54"/>
      <c r="CB349" s="54"/>
      <c r="CC349" s="54"/>
      <c r="CD349" s="54"/>
      <c r="CE349" s="54"/>
      <c r="CF349" s="54"/>
      <c r="CG349" s="54"/>
      <c r="CH349" s="54"/>
      <c r="CI349" s="54"/>
      <c r="CJ349" s="54"/>
      <c r="CK349" s="54"/>
      <c r="CL349" s="54"/>
      <c r="CM349" s="54"/>
      <c r="CN349" s="54"/>
      <c r="CO349" s="54"/>
      <c r="CP349" s="54"/>
      <c r="CQ349" s="54"/>
      <c r="CR349" s="54"/>
      <c r="CS349" s="54"/>
      <c r="CT349" s="54"/>
      <c r="CU349" s="54"/>
    </row>
    <row r="350" ht="15.75" customHeight="1">
      <c r="A350" s="51"/>
      <c r="B350" s="316" t="s">
        <v>788</v>
      </c>
      <c r="C350" s="189">
        <f>Standing!$C$75*0.36</f>
        <v>2.357401575</v>
      </c>
      <c r="D350" s="218">
        <f t="shared" si="3"/>
        <v>0.7503824722</v>
      </c>
      <c r="E350" s="190">
        <f t="shared" si="12"/>
        <v>59.878</v>
      </c>
      <c r="F350" s="122">
        <f t="shared" si="13"/>
        <v>19.05971479</v>
      </c>
      <c r="G350" s="123">
        <f>C350/Introduction!$I$20</f>
        <v>0.0245562664</v>
      </c>
      <c r="H350" s="192">
        <f t="shared" si="6"/>
        <v>0.007816484086</v>
      </c>
      <c r="I350" s="124">
        <f>E350/Introduction!$I$20</f>
        <v>0.6237291667</v>
      </c>
      <c r="J350" s="125">
        <f t="shared" si="7"/>
        <v>0.1985386958</v>
      </c>
      <c r="K350" s="51"/>
      <c r="L350" s="51"/>
      <c r="M350" s="51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  <c r="BV350" s="54"/>
      <c r="BW350" s="54"/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  <c r="CH350" s="54"/>
      <c r="CI350" s="54"/>
      <c r="CJ350" s="54"/>
      <c r="CK350" s="54"/>
      <c r="CL350" s="54"/>
      <c r="CM350" s="54"/>
      <c r="CN350" s="54"/>
      <c r="CO350" s="54"/>
      <c r="CP350" s="54"/>
      <c r="CQ350" s="54"/>
      <c r="CR350" s="54"/>
      <c r="CS350" s="54"/>
      <c r="CT350" s="54"/>
      <c r="CU350" s="54"/>
    </row>
    <row r="351" ht="15.75" customHeight="1">
      <c r="A351" s="51"/>
      <c r="B351" s="316" t="s">
        <v>789</v>
      </c>
      <c r="C351" s="189">
        <f>Standing!$C$75*0.27</f>
        <v>1.768051181</v>
      </c>
      <c r="D351" s="218">
        <f t="shared" si="3"/>
        <v>0.5627868542</v>
      </c>
      <c r="E351" s="190">
        <f t="shared" si="12"/>
        <v>44.9085</v>
      </c>
      <c r="F351" s="122">
        <f t="shared" si="13"/>
        <v>14.2947861</v>
      </c>
      <c r="G351" s="123">
        <f>C351/Introduction!$I$20</f>
        <v>0.0184171998</v>
      </c>
      <c r="H351" s="192">
        <f t="shared" si="6"/>
        <v>0.005862363064</v>
      </c>
      <c r="I351" s="124">
        <f>E351/Introduction!$I$20</f>
        <v>0.467796875</v>
      </c>
      <c r="J351" s="125">
        <f t="shared" si="7"/>
        <v>0.1489040218</v>
      </c>
      <c r="K351" s="51"/>
      <c r="L351" s="51"/>
      <c r="M351" s="51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  <c r="BV351" s="54"/>
      <c r="BW351" s="54"/>
      <c r="BX351" s="54"/>
      <c r="BY351" s="54"/>
      <c r="BZ351" s="54"/>
      <c r="CA351" s="54"/>
      <c r="CB351" s="54"/>
      <c r="CC351" s="54"/>
      <c r="CD351" s="54"/>
      <c r="CE351" s="54"/>
      <c r="CF351" s="54"/>
      <c r="CG351" s="54"/>
      <c r="CH351" s="54"/>
      <c r="CI351" s="54"/>
      <c r="CJ351" s="54"/>
      <c r="CK351" s="54"/>
      <c r="CL351" s="54"/>
      <c r="CM351" s="54"/>
      <c r="CN351" s="54"/>
      <c r="CO351" s="54"/>
      <c r="CP351" s="54"/>
      <c r="CQ351" s="54"/>
      <c r="CR351" s="54"/>
      <c r="CS351" s="54"/>
      <c r="CT351" s="54"/>
      <c r="CU351" s="54"/>
    </row>
    <row r="352" ht="15.75" customHeight="1">
      <c r="A352" s="51"/>
      <c r="B352" s="316" t="s">
        <v>790</v>
      </c>
      <c r="C352" s="189">
        <f>CM136</f>
        <v>2.594909783</v>
      </c>
      <c r="D352" s="218">
        <f t="shared" si="3"/>
        <v>0.8259835063</v>
      </c>
      <c r="E352" s="190">
        <f t="shared" si="12"/>
        <v>65.9107085</v>
      </c>
      <c r="F352" s="122">
        <f t="shared" si="13"/>
        <v>20.97998106</v>
      </c>
      <c r="G352" s="123">
        <f>C352/Introduction!$I$20</f>
        <v>0.02703031024</v>
      </c>
      <c r="H352" s="192">
        <f t="shared" si="6"/>
        <v>0.008603994857</v>
      </c>
      <c r="I352" s="124">
        <f>E352/Introduction!$I$20</f>
        <v>0.6865698802</v>
      </c>
      <c r="J352" s="125">
        <f t="shared" si="7"/>
        <v>0.2185414694</v>
      </c>
      <c r="K352" s="51"/>
      <c r="L352" s="51"/>
      <c r="M352" s="51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  <c r="BV352" s="54"/>
      <c r="BW352" s="54"/>
      <c r="BX352" s="54"/>
      <c r="BY352" s="54"/>
      <c r="BZ352" s="54"/>
      <c r="CA352" s="54"/>
      <c r="CB352" s="54"/>
      <c r="CC352" s="54"/>
      <c r="CD352" s="54"/>
      <c r="CE352" s="54"/>
      <c r="CF352" s="54"/>
      <c r="CG352" s="54"/>
      <c r="CH352" s="54"/>
      <c r="CI352" s="54"/>
      <c r="CJ352" s="54"/>
      <c r="CK352" s="54"/>
      <c r="CL352" s="54"/>
      <c r="CM352" s="54"/>
      <c r="CN352" s="54"/>
      <c r="CO352" s="54"/>
      <c r="CP352" s="54"/>
      <c r="CQ352" s="54"/>
      <c r="CR352" s="54"/>
      <c r="CS352" s="54"/>
      <c r="CT352" s="54"/>
      <c r="CU352" s="54"/>
    </row>
    <row r="353" ht="15.75" customHeight="1">
      <c r="A353" s="51"/>
      <c r="B353" s="316" t="s">
        <v>791</v>
      </c>
      <c r="C353" s="189">
        <f>Standing!$C$126*0.33</f>
        <v>1.223314612</v>
      </c>
      <c r="D353" s="218">
        <f t="shared" si="3"/>
        <v>0.3893922244</v>
      </c>
      <c r="E353" s="190">
        <f t="shared" si="12"/>
        <v>31.07219115</v>
      </c>
      <c r="F353" s="122">
        <f t="shared" si="13"/>
        <v>9.8905625</v>
      </c>
      <c r="G353" s="123">
        <f>C353/Introduction!$I$20</f>
        <v>0.01274286054</v>
      </c>
      <c r="H353" s="192">
        <f t="shared" si="6"/>
        <v>0.004056169004</v>
      </c>
      <c r="I353" s="124">
        <f>E353/Introduction!$I$20</f>
        <v>0.3236686578</v>
      </c>
      <c r="J353" s="125">
        <f t="shared" si="7"/>
        <v>0.1030266927</v>
      </c>
      <c r="K353" s="51"/>
      <c r="L353" s="51"/>
      <c r="M353" s="51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  <c r="BV353" s="54"/>
      <c r="BW353" s="54"/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  <c r="CH353" s="54"/>
      <c r="CI353" s="54"/>
      <c r="CJ353" s="54"/>
      <c r="CK353" s="54"/>
      <c r="CL353" s="54"/>
      <c r="CM353" s="54"/>
      <c r="CN353" s="54"/>
      <c r="CO353" s="54"/>
      <c r="CP353" s="54"/>
      <c r="CQ353" s="54"/>
      <c r="CR353" s="54"/>
      <c r="CS353" s="54"/>
      <c r="CT353" s="54"/>
      <c r="CU353" s="54"/>
    </row>
    <row r="354" ht="15.75" customHeight="1">
      <c r="A354" s="51"/>
      <c r="B354" s="316" t="s">
        <v>792</v>
      </c>
      <c r="C354" s="189">
        <f>CN136</f>
        <v>1.223314612</v>
      </c>
      <c r="D354" s="218">
        <f t="shared" si="3"/>
        <v>0.3893922244</v>
      </c>
      <c r="E354" s="190">
        <f t="shared" si="12"/>
        <v>31.07219115</v>
      </c>
      <c r="F354" s="122">
        <f t="shared" si="13"/>
        <v>9.8905625</v>
      </c>
      <c r="G354" s="123">
        <f>C354/Introduction!$I$20</f>
        <v>0.01274286054</v>
      </c>
      <c r="H354" s="192">
        <f t="shared" si="6"/>
        <v>0.004056169004</v>
      </c>
      <c r="I354" s="124">
        <f>E354/Introduction!$I$20</f>
        <v>0.3236686578</v>
      </c>
      <c r="J354" s="125">
        <f t="shared" si="7"/>
        <v>0.1030266927</v>
      </c>
      <c r="K354" s="51"/>
      <c r="L354" s="51"/>
      <c r="M354" s="51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  <c r="BV354" s="54"/>
      <c r="BW354" s="54"/>
      <c r="BX354" s="54"/>
      <c r="BY354" s="54"/>
      <c r="BZ354" s="54"/>
      <c r="CA354" s="54"/>
      <c r="CB354" s="54"/>
      <c r="CC354" s="54"/>
      <c r="CD354" s="54"/>
      <c r="CE354" s="54"/>
      <c r="CF354" s="54"/>
      <c r="CG354" s="54"/>
      <c r="CH354" s="54"/>
      <c r="CI354" s="54"/>
      <c r="CJ354" s="54"/>
      <c r="CK354" s="54"/>
      <c r="CL354" s="54"/>
      <c r="CM354" s="54"/>
      <c r="CN354" s="54"/>
      <c r="CO354" s="54"/>
      <c r="CP354" s="54"/>
      <c r="CQ354" s="54"/>
      <c r="CR354" s="54"/>
      <c r="CS354" s="54"/>
      <c r="CT354" s="54"/>
      <c r="CU354" s="54"/>
    </row>
    <row r="355" ht="15.75" customHeight="1">
      <c r="A355" s="51"/>
      <c r="B355" s="316" t="s">
        <v>793</v>
      </c>
      <c r="C355" s="189">
        <f>Standing!$C$126*0.25</f>
        <v>0.9267534941</v>
      </c>
      <c r="D355" s="218">
        <f t="shared" si="3"/>
        <v>0.2949941094</v>
      </c>
      <c r="E355" s="190">
        <f t="shared" si="12"/>
        <v>23.53953875</v>
      </c>
      <c r="F355" s="122">
        <f t="shared" si="13"/>
        <v>7.492850379</v>
      </c>
      <c r="G355" s="123">
        <f>C355/Introduction!$I$20</f>
        <v>0.00965368223</v>
      </c>
      <c r="H355" s="192">
        <f t="shared" si="6"/>
        <v>0.003072855306</v>
      </c>
      <c r="I355" s="124">
        <f>E355/Introduction!$I$20</f>
        <v>0.2452035286</v>
      </c>
      <c r="J355" s="125">
        <f t="shared" si="7"/>
        <v>0.07805052478</v>
      </c>
      <c r="K355" s="51"/>
      <c r="L355" s="51"/>
      <c r="M355" s="51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  <c r="BV355" s="54"/>
      <c r="BW355" s="54"/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  <c r="CH355" s="54"/>
      <c r="CI355" s="54"/>
      <c r="CJ355" s="54"/>
      <c r="CK355" s="54"/>
      <c r="CL355" s="54"/>
      <c r="CM355" s="54"/>
      <c r="CN355" s="54"/>
      <c r="CO355" s="54"/>
      <c r="CP355" s="54"/>
      <c r="CQ355" s="54"/>
      <c r="CR355" s="54"/>
      <c r="CS355" s="54"/>
      <c r="CT355" s="54"/>
      <c r="CU355" s="54"/>
    </row>
    <row r="356" ht="15.75" customHeight="1">
      <c r="A356" s="51"/>
      <c r="B356" s="316" t="s">
        <v>794</v>
      </c>
      <c r="C356" s="189">
        <f>CO136</f>
        <v>1.482805591</v>
      </c>
      <c r="D356" s="218">
        <f t="shared" si="3"/>
        <v>0.471990575</v>
      </c>
      <c r="E356" s="190">
        <f t="shared" si="12"/>
        <v>37.663262</v>
      </c>
      <c r="F356" s="122">
        <f t="shared" si="13"/>
        <v>11.98856061</v>
      </c>
      <c r="G356" s="123">
        <f>C356/Introduction!$I$20</f>
        <v>0.01544589157</v>
      </c>
      <c r="H356" s="192">
        <f t="shared" si="6"/>
        <v>0.00491656849</v>
      </c>
      <c r="I356" s="124">
        <f>E356/Introduction!$I$20</f>
        <v>0.3923256458</v>
      </c>
      <c r="J356" s="125">
        <f t="shared" si="7"/>
        <v>0.1248808396</v>
      </c>
      <c r="K356" s="51"/>
      <c r="L356" s="51"/>
      <c r="M356" s="51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  <c r="BV356" s="54"/>
      <c r="BW356" s="54"/>
      <c r="BX356" s="54"/>
      <c r="BY356" s="54"/>
      <c r="BZ356" s="54"/>
      <c r="CA356" s="54"/>
      <c r="CB356" s="54"/>
      <c r="CC356" s="54"/>
      <c r="CD356" s="54"/>
      <c r="CE356" s="54"/>
      <c r="CF356" s="54"/>
      <c r="CG356" s="54"/>
      <c r="CH356" s="54"/>
      <c r="CI356" s="54"/>
      <c r="CJ356" s="54"/>
      <c r="CK356" s="54"/>
      <c r="CL356" s="54"/>
      <c r="CM356" s="54"/>
      <c r="CN356" s="54"/>
      <c r="CO356" s="54"/>
      <c r="CP356" s="54"/>
      <c r="CQ356" s="54"/>
      <c r="CR356" s="54"/>
      <c r="CS356" s="54"/>
      <c r="CT356" s="54"/>
      <c r="CU356" s="54"/>
    </row>
    <row r="357" ht="15.75" customHeight="1">
      <c r="A357" s="51"/>
      <c r="B357" s="316" t="s">
        <v>795</v>
      </c>
      <c r="C357" s="189">
        <f>Standing!$C$126*0.25</f>
        <v>0.9267534941</v>
      </c>
      <c r="D357" s="218">
        <f t="shared" si="3"/>
        <v>0.2949941094</v>
      </c>
      <c r="E357" s="190">
        <f t="shared" si="12"/>
        <v>23.53953875</v>
      </c>
      <c r="F357" s="122">
        <f t="shared" si="13"/>
        <v>7.492850379</v>
      </c>
      <c r="G357" s="123">
        <f>C357/Introduction!$I$20</f>
        <v>0.00965368223</v>
      </c>
      <c r="H357" s="192">
        <f t="shared" si="6"/>
        <v>0.003072855306</v>
      </c>
      <c r="I357" s="124">
        <f>E357/Introduction!$I$20</f>
        <v>0.2452035286</v>
      </c>
      <c r="J357" s="125">
        <f t="shared" si="7"/>
        <v>0.07805052478</v>
      </c>
      <c r="K357" s="51"/>
      <c r="L357" s="51"/>
      <c r="M357" s="51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  <c r="BV357" s="54"/>
      <c r="BW357" s="54"/>
      <c r="BX357" s="54"/>
      <c r="BY357" s="54"/>
      <c r="BZ357" s="54"/>
      <c r="CA357" s="54"/>
      <c r="CB357" s="54"/>
      <c r="CC357" s="54"/>
      <c r="CD357" s="54"/>
      <c r="CE357" s="54"/>
      <c r="CF357" s="54"/>
      <c r="CG357" s="54"/>
      <c r="CH357" s="54"/>
      <c r="CI357" s="54"/>
      <c r="CJ357" s="54"/>
      <c r="CK357" s="54"/>
      <c r="CL357" s="54"/>
      <c r="CM357" s="54"/>
      <c r="CN357" s="54"/>
      <c r="CO357" s="54"/>
      <c r="CP357" s="54"/>
      <c r="CQ357" s="54"/>
      <c r="CR357" s="54"/>
      <c r="CS357" s="54"/>
      <c r="CT357" s="54"/>
      <c r="CU357" s="54"/>
    </row>
    <row r="358" ht="15.75" customHeight="1">
      <c r="A358" s="51"/>
      <c r="B358" s="316" t="s">
        <v>796</v>
      </c>
      <c r="C358" s="189">
        <f>Standing!C126*0.44</f>
        <v>1.63108615</v>
      </c>
      <c r="D358" s="218">
        <f t="shared" si="3"/>
        <v>0.5191896325</v>
      </c>
      <c r="E358" s="190">
        <f t="shared" si="12"/>
        <v>41.4295882</v>
      </c>
      <c r="F358" s="122">
        <f t="shared" si="13"/>
        <v>13.18741667</v>
      </c>
      <c r="G358" s="123">
        <f>C358/Introduction!$I$20</f>
        <v>0.01699048072</v>
      </c>
      <c r="H358" s="192">
        <f t="shared" si="6"/>
        <v>0.005408225339</v>
      </c>
      <c r="I358" s="124">
        <f>E358/Introduction!$I$20</f>
        <v>0.4315582104</v>
      </c>
      <c r="J358" s="125">
        <f t="shared" si="7"/>
        <v>0.1373689236</v>
      </c>
      <c r="K358" s="51"/>
      <c r="L358" s="51"/>
      <c r="M358" s="51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  <c r="BV358" s="54"/>
      <c r="BW358" s="54"/>
      <c r="BX358" s="54"/>
      <c r="BY358" s="54"/>
      <c r="BZ358" s="54"/>
      <c r="CA358" s="54"/>
      <c r="CB358" s="54"/>
      <c r="CC358" s="54"/>
      <c r="CD358" s="54"/>
      <c r="CE358" s="54"/>
      <c r="CF358" s="54"/>
      <c r="CG358" s="54"/>
      <c r="CH358" s="54"/>
      <c r="CI358" s="54"/>
      <c r="CJ358" s="54"/>
      <c r="CK358" s="54"/>
      <c r="CL358" s="54"/>
      <c r="CM358" s="54"/>
      <c r="CN358" s="54"/>
      <c r="CO358" s="54"/>
      <c r="CP358" s="54"/>
      <c r="CQ358" s="54"/>
      <c r="CR358" s="54"/>
      <c r="CS358" s="54"/>
      <c r="CT358" s="54"/>
      <c r="CU358" s="54"/>
    </row>
    <row r="359" ht="15.75" customHeight="1">
      <c r="A359" s="51"/>
      <c r="B359" s="316" t="s">
        <v>797</v>
      </c>
      <c r="C359" s="189">
        <f>Standing!$C$126*0.33</f>
        <v>1.223314612</v>
      </c>
      <c r="D359" s="218">
        <f t="shared" si="3"/>
        <v>0.3893922244</v>
      </c>
      <c r="E359" s="190">
        <f t="shared" si="12"/>
        <v>31.07219115</v>
      </c>
      <c r="F359" s="122">
        <f t="shared" si="13"/>
        <v>9.8905625</v>
      </c>
      <c r="G359" s="123">
        <f>C359/Introduction!$I$20</f>
        <v>0.01274286054</v>
      </c>
      <c r="H359" s="192">
        <f t="shared" si="6"/>
        <v>0.004056169004</v>
      </c>
      <c r="I359" s="124">
        <f>E359/Introduction!$I$20</f>
        <v>0.3236686578</v>
      </c>
      <c r="J359" s="125">
        <f t="shared" si="7"/>
        <v>0.1030266927</v>
      </c>
      <c r="K359" s="51"/>
      <c r="L359" s="51"/>
      <c r="M359" s="51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  <c r="BV359" s="54"/>
      <c r="BW359" s="54"/>
      <c r="BX359" s="54"/>
      <c r="BY359" s="54"/>
      <c r="BZ359" s="54"/>
      <c r="CA359" s="54"/>
      <c r="CB359" s="54"/>
      <c r="CC359" s="54"/>
      <c r="CD359" s="54"/>
      <c r="CE359" s="54"/>
      <c r="CF359" s="54"/>
      <c r="CG359" s="54"/>
      <c r="CH359" s="54"/>
      <c r="CI359" s="54"/>
      <c r="CJ359" s="54"/>
      <c r="CK359" s="54"/>
      <c r="CL359" s="54"/>
      <c r="CM359" s="54"/>
      <c r="CN359" s="54"/>
      <c r="CO359" s="54"/>
      <c r="CP359" s="54"/>
      <c r="CQ359" s="54"/>
      <c r="CR359" s="54"/>
      <c r="CS359" s="54"/>
      <c r="CT359" s="54"/>
      <c r="CU359" s="54"/>
    </row>
    <row r="360" ht="15.75" customHeight="1">
      <c r="A360" s="51"/>
      <c r="B360" s="316" t="s">
        <v>798</v>
      </c>
      <c r="C360" s="189">
        <f>Standing!$C$126*0.44</f>
        <v>1.63108615</v>
      </c>
      <c r="D360" s="218">
        <f t="shared" si="3"/>
        <v>0.5191896325</v>
      </c>
      <c r="E360" s="190">
        <f t="shared" si="12"/>
        <v>41.4295882</v>
      </c>
      <c r="F360" s="122">
        <f t="shared" si="13"/>
        <v>13.18741667</v>
      </c>
      <c r="G360" s="123">
        <f>C360/Introduction!$I$20</f>
        <v>0.01699048072</v>
      </c>
      <c r="H360" s="192">
        <f t="shared" si="6"/>
        <v>0.005408225339</v>
      </c>
      <c r="I360" s="124">
        <f>E360/Introduction!$I$20</f>
        <v>0.4315582104</v>
      </c>
      <c r="J360" s="125">
        <f t="shared" si="7"/>
        <v>0.1373689236</v>
      </c>
      <c r="K360" s="51"/>
      <c r="L360" s="51"/>
      <c r="M360" s="51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  <c r="BV360" s="54"/>
      <c r="BW360" s="54"/>
      <c r="BX360" s="54"/>
      <c r="BY360" s="54"/>
      <c r="BZ360" s="54"/>
      <c r="CA360" s="54"/>
      <c r="CB360" s="54"/>
      <c r="CC360" s="54"/>
      <c r="CD360" s="54"/>
      <c r="CE360" s="54"/>
      <c r="CF360" s="54"/>
      <c r="CG360" s="54"/>
      <c r="CH360" s="54"/>
      <c r="CI360" s="54"/>
      <c r="CJ360" s="54"/>
      <c r="CK360" s="54"/>
      <c r="CL360" s="54"/>
      <c r="CM360" s="54"/>
      <c r="CN360" s="54"/>
      <c r="CO360" s="54"/>
      <c r="CP360" s="54"/>
      <c r="CQ360" s="54"/>
      <c r="CR360" s="54"/>
      <c r="CS360" s="54"/>
      <c r="CT360" s="54"/>
      <c r="CU360" s="54"/>
    </row>
    <row r="361" ht="15.75" customHeight="1">
      <c r="A361" s="51"/>
      <c r="B361" s="318" t="s">
        <v>799</v>
      </c>
      <c r="C361" s="200">
        <f>Standing!$C$126*0.44</f>
        <v>1.63108615</v>
      </c>
      <c r="D361" s="201">
        <f t="shared" si="3"/>
        <v>0.5191896325</v>
      </c>
      <c r="E361" s="202">
        <f t="shared" si="12"/>
        <v>41.4295882</v>
      </c>
      <c r="F361" s="203">
        <f t="shared" si="13"/>
        <v>13.18741667</v>
      </c>
      <c r="G361" s="204">
        <f>C361/Introduction!$I$20</f>
        <v>0.01699048072</v>
      </c>
      <c r="H361" s="319">
        <f t="shared" si="6"/>
        <v>0.005408225339</v>
      </c>
      <c r="I361" s="206">
        <f>E361/Introduction!$I$20</f>
        <v>0.4315582104</v>
      </c>
      <c r="J361" s="320">
        <f t="shared" si="7"/>
        <v>0.1373689236</v>
      </c>
      <c r="K361" s="51"/>
      <c r="L361" s="51"/>
      <c r="M361" s="51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  <c r="BV361" s="54"/>
      <c r="BW361" s="54"/>
      <c r="BX361" s="54"/>
      <c r="BY361" s="54"/>
      <c r="BZ361" s="54"/>
      <c r="CA361" s="54"/>
      <c r="CB361" s="54"/>
      <c r="CC361" s="54"/>
      <c r="CD361" s="54"/>
      <c r="CE361" s="54"/>
      <c r="CF361" s="54"/>
      <c r="CG361" s="54"/>
      <c r="CH361" s="54"/>
      <c r="CI361" s="54"/>
      <c r="CJ361" s="54"/>
      <c r="CK361" s="54"/>
      <c r="CL361" s="54"/>
      <c r="CM361" s="54"/>
      <c r="CN361" s="54"/>
      <c r="CO361" s="54"/>
      <c r="CP361" s="54"/>
      <c r="CQ361" s="54"/>
      <c r="CR361" s="54"/>
      <c r="CS361" s="54"/>
      <c r="CT361" s="54"/>
      <c r="CU361" s="54"/>
    </row>
    <row r="362" ht="15.75" customHeight="1">
      <c r="A362" s="51"/>
      <c r="B362" s="321" t="s">
        <v>800</v>
      </c>
      <c r="C362" s="209"/>
      <c r="D362" s="210"/>
      <c r="E362" s="211"/>
      <c r="F362" s="212"/>
      <c r="G362" s="213"/>
      <c r="H362" s="322"/>
      <c r="I362" s="215"/>
      <c r="J362" s="323"/>
      <c r="K362" s="51"/>
      <c r="L362" s="51"/>
      <c r="M362" s="51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  <c r="BV362" s="54"/>
      <c r="BW362" s="54"/>
      <c r="BX362" s="54"/>
      <c r="BY362" s="54"/>
      <c r="BZ362" s="54"/>
      <c r="CA362" s="54"/>
      <c r="CB362" s="54"/>
      <c r="CC362" s="54"/>
      <c r="CD362" s="54"/>
      <c r="CE362" s="54"/>
      <c r="CF362" s="54"/>
      <c r="CG362" s="54"/>
      <c r="CH362" s="54"/>
      <c r="CI362" s="54"/>
      <c r="CJ362" s="54"/>
      <c r="CK362" s="54"/>
      <c r="CL362" s="54"/>
      <c r="CM362" s="54"/>
      <c r="CN362" s="54"/>
      <c r="CO362" s="54"/>
      <c r="CP362" s="54"/>
      <c r="CQ362" s="54"/>
      <c r="CR362" s="54"/>
      <c r="CS362" s="54"/>
      <c r="CT362" s="54"/>
      <c r="CU362" s="54"/>
    </row>
    <row r="363" ht="15.75" customHeight="1">
      <c r="A363" s="51"/>
      <c r="B363" s="316" t="s">
        <v>801</v>
      </c>
      <c r="C363" s="189">
        <f>Standing!$C$126*0.33</f>
        <v>1.223314612</v>
      </c>
      <c r="D363" s="218">
        <f t="shared" ref="D363:D410" si="15">C363/3.1416</f>
        <v>0.3893922244</v>
      </c>
      <c r="E363" s="190">
        <f t="shared" ref="E363:E410" si="16">C363*25.4</f>
        <v>31.07219115</v>
      </c>
      <c r="F363" s="122">
        <f t="shared" ref="F363:F410" si="17">E363/3.1416</f>
        <v>9.8905625</v>
      </c>
      <c r="G363" s="123">
        <f>C363/Introduction!$I$20</f>
        <v>0.01274286054</v>
      </c>
      <c r="H363" s="192">
        <f t="shared" ref="H363:H410" si="18">G363/3.1416</f>
        <v>0.004056169004</v>
      </c>
      <c r="I363" s="124">
        <f>E363/Introduction!$I$20</f>
        <v>0.3236686578</v>
      </c>
      <c r="J363" s="125">
        <f t="shared" ref="J363:J410" si="19">I363/3.1416</f>
        <v>0.1030266927</v>
      </c>
      <c r="K363" s="51"/>
      <c r="L363" s="51"/>
      <c r="M363" s="51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  <c r="BV363" s="54"/>
      <c r="BW363" s="54"/>
      <c r="BX363" s="54"/>
      <c r="BY363" s="54"/>
      <c r="BZ363" s="54"/>
      <c r="CA363" s="54"/>
      <c r="CB363" s="54"/>
      <c r="CC363" s="54"/>
      <c r="CD363" s="54"/>
      <c r="CE363" s="54"/>
      <c r="CF363" s="54"/>
      <c r="CG363" s="54"/>
      <c r="CH363" s="54"/>
      <c r="CI363" s="54"/>
      <c r="CJ363" s="54"/>
      <c r="CK363" s="54"/>
      <c r="CL363" s="54"/>
      <c r="CM363" s="54"/>
      <c r="CN363" s="54"/>
      <c r="CO363" s="54"/>
      <c r="CP363" s="54"/>
      <c r="CQ363" s="54"/>
      <c r="CR363" s="54"/>
      <c r="CS363" s="54"/>
      <c r="CT363" s="54"/>
      <c r="CU363" s="54"/>
    </row>
    <row r="364" ht="15.75" customHeight="1">
      <c r="A364" s="51"/>
      <c r="B364" s="316" t="s">
        <v>802</v>
      </c>
      <c r="C364" s="189">
        <f>Standing!$C$126*0.5</f>
        <v>1.853506988</v>
      </c>
      <c r="D364" s="218">
        <f t="shared" si="15"/>
        <v>0.5899882188</v>
      </c>
      <c r="E364" s="190">
        <f t="shared" si="16"/>
        <v>47.0790775</v>
      </c>
      <c r="F364" s="122">
        <f t="shared" si="17"/>
        <v>14.98570076</v>
      </c>
      <c r="G364" s="123">
        <f>C364/Introduction!$I$20</f>
        <v>0.01930736446</v>
      </c>
      <c r="H364" s="192">
        <f t="shared" si="18"/>
        <v>0.006145710612</v>
      </c>
      <c r="I364" s="124">
        <f>E364/Introduction!$I$20</f>
        <v>0.4904070573</v>
      </c>
      <c r="J364" s="125">
        <f t="shared" si="19"/>
        <v>0.1561010496</v>
      </c>
      <c r="K364" s="51"/>
      <c r="L364" s="51"/>
      <c r="M364" s="51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  <c r="BV364" s="54"/>
      <c r="BW364" s="54"/>
      <c r="BX364" s="54"/>
      <c r="BY364" s="54"/>
      <c r="BZ364" s="54"/>
      <c r="CA364" s="54"/>
      <c r="CB364" s="54"/>
      <c r="CC364" s="54"/>
      <c r="CD364" s="54"/>
      <c r="CE364" s="54"/>
      <c r="CF364" s="54"/>
      <c r="CG364" s="54"/>
      <c r="CH364" s="54"/>
      <c r="CI364" s="54"/>
      <c r="CJ364" s="54"/>
      <c r="CK364" s="54"/>
      <c r="CL364" s="54"/>
      <c r="CM364" s="54"/>
      <c r="CN364" s="54"/>
      <c r="CO364" s="54"/>
      <c r="CP364" s="54"/>
      <c r="CQ364" s="54"/>
      <c r="CR364" s="54"/>
      <c r="CS364" s="54"/>
      <c r="CT364" s="54"/>
      <c r="CU364" s="54"/>
    </row>
    <row r="365" ht="15.75" customHeight="1">
      <c r="A365" s="51"/>
      <c r="B365" s="316" t="s">
        <v>803</v>
      </c>
      <c r="C365" s="189">
        <f>Standing!$C$126*0.33</f>
        <v>1.223314612</v>
      </c>
      <c r="D365" s="218">
        <f t="shared" si="15"/>
        <v>0.3893922244</v>
      </c>
      <c r="E365" s="190">
        <f t="shared" si="16"/>
        <v>31.07219115</v>
      </c>
      <c r="F365" s="122">
        <f t="shared" si="17"/>
        <v>9.8905625</v>
      </c>
      <c r="G365" s="123">
        <f>C365/Introduction!$I$20</f>
        <v>0.01274286054</v>
      </c>
      <c r="H365" s="192">
        <f t="shared" si="18"/>
        <v>0.004056169004</v>
      </c>
      <c r="I365" s="124">
        <f>E365/Introduction!$I$20</f>
        <v>0.3236686578</v>
      </c>
      <c r="J365" s="125">
        <f t="shared" si="19"/>
        <v>0.1030266927</v>
      </c>
      <c r="K365" s="51"/>
      <c r="L365" s="51"/>
      <c r="M365" s="51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  <c r="BV365" s="54"/>
      <c r="BW365" s="54"/>
      <c r="BX365" s="54"/>
      <c r="BY365" s="54"/>
      <c r="BZ365" s="54"/>
      <c r="CA365" s="54"/>
      <c r="CB365" s="54"/>
      <c r="CC365" s="54"/>
      <c r="CD365" s="54"/>
      <c r="CE365" s="54"/>
      <c r="CF365" s="54"/>
      <c r="CG365" s="54"/>
      <c r="CH365" s="54"/>
      <c r="CI365" s="54"/>
      <c r="CJ365" s="54"/>
      <c r="CK365" s="54"/>
      <c r="CL365" s="54"/>
      <c r="CM365" s="54"/>
      <c r="CN365" s="54"/>
      <c r="CO365" s="54"/>
      <c r="CP365" s="54"/>
      <c r="CQ365" s="54"/>
      <c r="CR365" s="54"/>
      <c r="CS365" s="54"/>
      <c r="CT365" s="54"/>
      <c r="CU365" s="54"/>
    </row>
    <row r="366" ht="15.75" customHeight="1">
      <c r="A366" s="51"/>
      <c r="B366" s="316" t="s">
        <v>804</v>
      </c>
      <c r="C366" s="189">
        <f>Standing!$C$126*0.25</f>
        <v>0.9267534941</v>
      </c>
      <c r="D366" s="218">
        <f t="shared" si="15"/>
        <v>0.2949941094</v>
      </c>
      <c r="E366" s="190">
        <f t="shared" si="16"/>
        <v>23.53953875</v>
      </c>
      <c r="F366" s="122">
        <f t="shared" si="17"/>
        <v>7.492850379</v>
      </c>
      <c r="G366" s="123">
        <f>C366/Introduction!$I$20</f>
        <v>0.00965368223</v>
      </c>
      <c r="H366" s="192">
        <f t="shared" si="18"/>
        <v>0.003072855306</v>
      </c>
      <c r="I366" s="124">
        <f>E366/Introduction!$I$20</f>
        <v>0.2452035286</v>
      </c>
      <c r="J366" s="125">
        <f t="shared" si="19"/>
        <v>0.07805052478</v>
      </c>
      <c r="K366" s="51"/>
      <c r="L366" s="51"/>
      <c r="M366" s="51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</row>
    <row r="367" ht="15.75" customHeight="1">
      <c r="A367" s="51"/>
      <c r="B367" s="316" t="s">
        <v>805</v>
      </c>
      <c r="C367" s="189">
        <f>Standing!$C$126*0.25</f>
        <v>0.9267534941</v>
      </c>
      <c r="D367" s="218">
        <f t="shared" si="15"/>
        <v>0.2949941094</v>
      </c>
      <c r="E367" s="190">
        <f t="shared" si="16"/>
        <v>23.53953875</v>
      </c>
      <c r="F367" s="122">
        <f t="shared" si="17"/>
        <v>7.492850379</v>
      </c>
      <c r="G367" s="123">
        <f>C367/Introduction!$I$20</f>
        <v>0.00965368223</v>
      </c>
      <c r="H367" s="192">
        <f t="shared" si="18"/>
        <v>0.003072855306</v>
      </c>
      <c r="I367" s="124">
        <f>E367/Introduction!$I$20</f>
        <v>0.2452035286</v>
      </c>
      <c r="J367" s="125">
        <f t="shared" si="19"/>
        <v>0.07805052478</v>
      </c>
      <c r="K367" s="51"/>
      <c r="L367" s="51"/>
      <c r="M367" s="51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</row>
    <row r="368" ht="15.75" customHeight="1">
      <c r="A368" s="51"/>
      <c r="B368" s="317" t="s">
        <v>806</v>
      </c>
      <c r="C368" s="189">
        <f>Standing!$C$126*0.66</f>
        <v>2.446629224</v>
      </c>
      <c r="D368" s="218">
        <f t="shared" si="15"/>
        <v>0.7787844488</v>
      </c>
      <c r="E368" s="190">
        <f t="shared" si="16"/>
        <v>62.1443823</v>
      </c>
      <c r="F368" s="122">
        <f t="shared" si="17"/>
        <v>19.781125</v>
      </c>
      <c r="G368" s="123">
        <f>C368/Introduction!$I$20</f>
        <v>0.02548572109</v>
      </c>
      <c r="H368" s="192">
        <f t="shared" si="18"/>
        <v>0.008112338008</v>
      </c>
      <c r="I368" s="124">
        <f>E368/Introduction!$I$20</f>
        <v>0.6473373156</v>
      </c>
      <c r="J368" s="125">
        <f t="shared" si="19"/>
        <v>0.2060533854</v>
      </c>
      <c r="K368" s="51"/>
      <c r="L368" s="51"/>
      <c r="M368" s="51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</row>
    <row r="369" ht="15.75" customHeight="1">
      <c r="A369" s="51"/>
      <c r="B369" s="316" t="s">
        <v>807</v>
      </c>
      <c r="C369" s="189">
        <f>Standing!$C$126*0.5</f>
        <v>1.853506988</v>
      </c>
      <c r="D369" s="218">
        <f t="shared" si="15"/>
        <v>0.5899882188</v>
      </c>
      <c r="E369" s="190">
        <f t="shared" si="16"/>
        <v>47.0790775</v>
      </c>
      <c r="F369" s="122">
        <f t="shared" si="17"/>
        <v>14.98570076</v>
      </c>
      <c r="G369" s="123">
        <f>C369/Introduction!$I$20</f>
        <v>0.01930736446</v>
      </c>
      <c r="H369" s="192">
        <f t="shared" si="18"/>
        <v>0.006145710612</v>
      </c>
      <c r="I369" s="124">
        <f>E369/Introduction!$I$20</f>
        <v>0.4904070573</v>
      </c>
      <c r="J369" s="125">
        <f t="shared" si="19"/>
        <v>0.1561010496</v>
      </c>
      <c r="K369" s="51"/>
      <c r="L369" s="51"/>
      <c r="M369" s="51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  <c r="BV369" s="54"/>
      <c r="BW369" s="54"/>
      <c r="BX369" s="54"/>
      <c r="BY369" s="54"/>
      <c r="BZ369" s="54"/>
      <c r="CA369" s="54"/>
      <c r="CB369" s="54"/>
      <c r="CC369" s="54"/>
      <c r="CD369" s="54"/>
      <c r="CE369" s="54"/>
      <c r="CF369" s="54"/>
      <c r="CG369" s="54"/>
      <c r="CH369" s="54"/>
      <c r="CI369" s="54"/>
      <c r="CJ369" s="54"/>
      <c r="CK369" s="54"/>
      <c r="CL369" s="54"/>
      <c r="CM369" s="54"/>
      <c r="CN369" s="54"/>
      <c r="CO369" s="54"/>
      <c r="CP369" s="54"/>
      <c r="CQ369" s="54"/>
      <c r="CR369" s="54"/>
      <c r="CS369" s="54"/>
      <c r="CT369" s="54"/>
      <c r="CU369" s="54"/>
    </row>
    <row r="370" ht="15.75" customHeight="1">
      <c r="A370" s="51"/>
      <c r="B370" s="316" t="s">
        <v>808</v>
      </c>
      <c r="C370" s="189">
        <f>Standing!$C$126*0.5</f>
        <v>1.853506988</v>
      </c>
      <c r="D370" s="218">
        <f t="shared" si="15"/>
        <v>0.5899882188</v>
      </c>
      <c r="E370" s="190">
        <f t="shared" si="16"/>
        <v>47.0790775</v>
      </c>
      <c r="F370" s="122">
        <f t="shared" si="17"/>
        <v>14.98570076</v>
      </c>
      <c r="G370" s="123">
        <f>C370/Introduction!$I$20</f>
        <v>0.01930736446</v>
      </c>
      <c r="H370" s="192">
        <f t="shared" si="18"/>
        <v>0.006145710612</v>
      </c>
      <c r="I370" s="124">
        <f>E370/Introduction!$I$20</f>
        <v>0.4904070573</v>
      </c>
      <c r="J370" s="125">
        <f t="shared" si="19"/>
        <v>0.1561010496</v>
      </c>
      <c r="K370" s="51"/>
      <c r="L370" s="51"/>
      <c r="M370" s="51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  <c r="BV370" s="54"/>
      <c r="BW370" s="54"/>
      <c r="BX370" s="54"/>
      <c r="BY370" s="54"/>
      <c r="BZ370" s="54"/>
      <c r="CA370" s="54"/>
      <c r="CB370" s="54"/>
      <c r="CC370" s="54"/>
      <c r="CD370" s="54"/>
      <c r="CE370" s="54"/>
      <c r="CF370" s="54"/>
      <c r="CG370" s="54"/>
      <c r="CH370" s="54"/>
      <c r="CI370" s="54"/>
      <c r="CJ370" s="54"/>
      <c r="CK370" s="54"/>
      <c r="CL370" s="54"/>
      <c r="CM370" s="54"/>
      <c r="CN370" s="54"/>
      <c r="CO370" s="54"/>
      <c r="CP370" s="54"/>
      <c r="CQ370" s="54"/>
      <c r="CR370" s="54"/>
      <c r="CS370" s="54"/>
      <c r="CT370" s="54"/>
      <c r="CU370" s="54"/>
    </row>
    <row r="371" ht="15.75" customHeight="1">
      <c r="A371" s="51"/>
      <c r="B371" s="316" t="s">
        <v>809</v>
      </c>
      <c r="C371" s="189">
        <f>Standing!$C$126*0.55</f>
        <v>2.038857687</v>
      </c>
      <c r="D371" s="218">
        <f t="shared" si="15"/>
        <v>0.6489870407</v>
      </c>
      <c r="E371" s="190">
        <f t="shared" si="16"/>
        <v>51.78698525</v>
      </c>
      <c r="F371" s="122">
        <f t="shared" si="17"/>
        <v>16.48427083</v>
      </c>
      <c r="G371" s="123">
        <f>C371/Introduction!$I$20</f>
        <v>0.02123810091</v>
      </c>
      <c r="H371" s="192">
        <f t="shared" si="18"/>
        <v>0.006760281674</v>
      </c>
      <c r="I371" s="124">
        <f>E371/Introduction!$I$20</f>
        <v>0.539447763</v>
      </c>
      <c r="J371" s="125">
        <f t="shared" si="19"/>
        <v>0.1717111545</v>
      </c>
      <c r="K371" s="51"/>
      <c r="L371" s="51"/>
      <c r="M371" s="51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  <c r="BV371" s="54"/>
      <c r="BW371" s="54"/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  <c r="CH371" s="54"/>
      <c r="CI371" s="54"/>
      <c r="CJ371" s="54"/>
      <c r="CK371" s="54"/>
      <c r="CL371" s="54"/>
      <c r="CM371" s="54"/>
      <c r="CN371" s="54"/>
      <c r="CO371" s="54"/>
      <c r="CP371" s="54"/>
      <c r="CQ371" s="54"/>
      <c r="CR371" s="54"/>
      <c r="CS371" s="54"/>
      <c r="CT371" s="54"/>
      <c r="CU371" s="54"/>
    </row>
    <row r="372" ht="15.75" customHeight="1">
      <c r="A372" s="51"/>
      <c r="B372" s="316" t="s">
        <v>810</v>
      </c>
      <c r="C372" s="189">
        <f>Standing!$C$126*0.275</f>
        <v>1.019428843</v>
      </c>
      <c r="D372" s="218">
        <f t="shared" si="15"/>
        <v>0.3244935203</v>
      </c>
      <c r="E372" s="190">
        <f t="shared" si="16"/>
        <v>25.89349262</v>
      </c>
      <c r="F372" s="122">
        <f t="shared" si="17"/>
        <v>8.242135417</v>
      </c>
      <c r="G372" s="123">
        <f>C372/Introduction!$I$20</f>
        <v>0.01061905045</v>
      </c>
      <c r="H372" s="192">
        <f t="shared" si="18"/>
        <v>0.003380140837</v>
      </c>
      <c r="I372" s="124">
        <f>E372/Introduction!$I$20</f>
        <v>0.2697238815</v>
      </c>
      <c r="J372" s="125">
        <f t="shared" si="19"/>
        <v>0.08585557726</v>
      </c>
      <c r="K372" s="51"/>
      <c r="L372" s="51"/>
      <c r="M372" s="51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  <c r="BV372" s="54"/>
      <c r="BW372" s="54"/>
      <c r="BX372" s="54"/>
      <c r="BY372" s="54"/>
      <c r="BZ372" s="54"/>
      <c r="CA372" s="54"/>
      <c r="CB372" s="54"/>
      <c r="CC372" s="54"/>
      <c r="CD372" s="54"/>
      <c r="CE372" s="54"/>
      <c r="CF372" s="54"/>
      <c r="CG372" s="54"/>
      <c r="CH372" s="54"/>
      <c r="CI372" s="54"/>
      <c r="CJ372" s="54"/>
      <c r="CK372" s="54"/>
      <c r="CL372" s="54"/>
      <c r="CM372" s="54"/>
      <c r="CN372" s="54"/>
      <c r="CO372" s="54"/>
      <c r="CP372" s="54"/>
      <c r="CQ372" s="54"/>
      <c r="CR372" s="54"/>
      <c r="CS372" s="54"/>
      <c r="CT372" s="54"/>
      <c r="CU372" s="54"/>
    </row>
    <row r="373" ht="15.75" customHeight="1">
      <c r="A373" s="51"/>
      <c r="B373" s="317" t="s">
        <v>811</v>
      </c>
      <c r="C373" s="189">
        <f>Standing!$C$126*0.6</f>
        <v>2.224208386</v>
      </c>
      <c r="D373" s="218">
        <f t="shared" si="15"/>
        <v>0.7079858626</v>
      </c>
      <c r="E373" s="190">
        <f t="shared" si="16"/>
        <v>56.494893</v>
      </c>
      <c r="F373" s="122">
        <f t="shared" si="17"/>
        <v>17.98284091</v>
      </c>
      <c r="G373" s="123">
        <f>C373/Introduction!$I$20</f>
        <v>0.02316883735</v>
      </c>
      <c r="H373" s="192">
        <f t="shared" si="18"/>
        <v>0.007374852735</v>
      </c>
      <c r="I373" s="124">
        <f>E373/Introduction!$I$20</f>
        <v>0.5884884687</v>
      </c>
      <c r="J373" s="125">
        <f t="shared" si="19"/>
        <v>0.1873212595</v>
      </c>
      <c r="K373" s="51"/>
      <c r="L373" s="51"/>
      <c r="M373" s="51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  <c r="BV373" s="54"/>
      <c r="BW373" s="54"/>
      <c r="BX373" s="54"/>
      <c r="BY373" s="54"/>
      <c r="BZ373" s="54"/>
      <c r="CA373" s="54"/>
      <c r="CB373" s="54"/>
      <c r="CC373" s="54"/>
      <c r="CD373" s="54"/>
      <c r="CE373" s="54"/>
      <c r="CF373" s="54"/>
      <c r="CG373" s="54"/>
      <c r="CH373" s="54"/>
      <c r="CI373" s="54"/>
      <c r="CJ373" s="54"/>
      <c r="CK373" s="54"/>
      <c r="CL373" s="54"/>
      <c r="CM373" s="54"/>
      <c r="CN373" s="54"/>
      <c r="CO373" s="54"/>
      <c r="CP373" s="54"/>
      <c r="CQ373" s="54"/>
      <c r="CR373" s="54"/>
      <c r="CS373" s="54"/>
      <c r="CT373" s="54"/>
      <c r="CU373" s="54"/>
    </row>
    <row r="374" ht="15.75" customHeight="1">
      <c r="A374" s="51"/>
      <c r="B374" s="316" t="s">
        <v>812</v>
      </c>
      <c r="C374" s="189">
        <f>Standing!$C$126*0.6</f>
        <v>2.224208386</v>
      </c>
      <c r="D374" s="218">
        <f t="shared" si="15"/>
        <v>0.7079858626</v>
      </c>
      <c r="E374" s="190">
        <f t="shared" si="16"/>
        <v>56.494893</v>
      </c>
      <c r="F374" s="122">
        <f t="shared" si="17"/>
        <v>17.98284091</v>
      </c>
      <c r="G374" s="123">
        <f>C374/Introduction!$I$20</f>
        <v>0.02316883735</v>
      </c>
      <c r="H374" s="192">
        <f t="shared" si="18"/>
        <v>0.007374852735</v>
      </c>
      <c r="I374" s="124">
        <f>E374/Introduction!$I$20</f>
        <v>0.5884884687</v>
      </c>
      <c r="J374" s="125">
        <f t="shared" si="19"/>
        <v>0.1873212595</v>
      </c>
      <c r="K374" s="51"/>
      <c r="L374" s="51"/>
      <c r="M374" s="51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  <c r="BV374" s="54"/>
      <c r="BW374" s="54"/>
      <c r="BX374" s="54"/>
      <c r="BY374" s="54"/>
      <c r="BZ374" s="54"/>
      <c r="CA374" s="54"/>
      <c r="CB374" s="54"/>
      <c r="CC374" s="54"/>
      <c r="CD374" s="54"/>
      <c r="CE374" s="54"/>
      <c r="CF374" s="54"/>
      <c r="CG374" s="54"/>
      <c r="CH374" s="54"/>
      <c r="CI374" s="54"/>
      <c r="CJ374" s="54"/>
      <c r="CK374" s="54"/>
      <c r="CL374" s="54"/>
      <c r="CM374" s="54"/>
      <c r="CN374" s="54"/>
      <c r="CO374" s="54"/>
      <c r="CP374" s="54"/>
      <c r="CQ374" s="54"/>
      <c r="CR374" s="54"/>
      <c r="CS374" s="54"/>
      <c r="CT374" s="54"/>
      <c r="CU374" s="54"/>
    </row>
    <row r="375" ht="15.75" customHeight="1">
      <c r="A375" s="51"/>
      <c r="B375" s="316" t="s">
        <v>813</v>
      </c>
      <c r="C375" s="189">
        <f>Standing!$C$126*0.33</f>
        <v>1.223314612</v>
      </c>
      <c r="D375" s="218">
        <f t="shared" si="15"/>
        <v>0.3893922244</v>
      </c>
      <c r="E375" s="190">
        <f t="shared" si="16"/>
        <v>31.07219115</v>
      </c>
      <c r="F375" s="122">
        <f t="shared" si="17"/>
        <v>9.8905625</v>
      </c>
      <c r="G375" s="123">
        <f>C375/Introduction!$I$20</f>
        <v>0.01274286054</v>
      </c>
      <c r="H375" s="192">
        <f t="shared" si="18"/>
        <v>0.004056169004</v>
      </c>
      <c r="I375" s="124">
        <f>E375/Introduction!$I$20</f>
        <v>0.3236686578</v>
      </c>
      <c r="J375" s="125">
        <f t="shared" si="19"/>
        <v>0.1030266927</v>
      </c>
      <c r="K375" s="51"/>
      <c r="L375" s="51"/>
      <c r="M375" s="51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  <c r="BV375" s="54"/>
      <c r="BW375" s="54"/>
      <c r="BX375" s="54"/>
      <c r="BY375" s="54"/>
      <c r="BZ375" s="54"/>
      <c r="CA375" s="54"/>
      <c r="CB375" s="54"/>
      <c r="CC375" s="54"/>
      <c r="CD375" s="54"/>
      <c r="CE375" s="54"/>
      <c r="CF375" s="54"/>
      <c r="CG375" s="54"/>
      <c r="CH375" s="54"/>
      <c r="CI375" s="54"/>
      <c r="CJ375" s="54"/>
      <c r="CK375" s="54"/>
      <c r="CL375" s="54"/>
      <c r="CM375" s="54"/>
      <c r="CN375" s="54"/>
      <c r="CO375" s="54"/>
      <c r="CP375" s="54"/>
      <c r="CQ375" s="54"/>
      <c r="CR375" s="54"/>
      <c r="CS375" s="54"/>
      <c r="CT375" s="54"/>
      <c r="CU375" s="54"/>
    </row>
    <row r="376" ht="15.75" customHeight="1">
      <c r="A376" s="51"/>
      <c r="B376" s="316" t="s">
        <v>814</v>
      </c>
      <c r="C376" s="189">
        <f>IF(Standing!$C$126*0.4&gt;2,Standing!$C$126*0.4,2)</f>
        <v>2</v>
      </c>
      <c r="D376" s="218">
        <f t="shared" si="15"/>
        <v>0.6366182837</v>
      </c>
      <c r="E376" s="190">
        <f t="shared" si="16"/>
        <v>50.8</v>
      </c>
      <c r="F376" s="122">
        <f t="shared" si="17"/>
        <v>16.17010441</v>
      </c>
      <c r="G376" s="123">
        <f>C376/Introduction!$I$20</f>
        <v>0.02083333333</v>
      </c>
      <c r="H376" s="192">
        <f t="shared" si="18"/>
        <v>0.006631440455</v>
      </c>
      <c r="I376" s="124">
        <f>E376/Introduction!$I$20</f>
        <v>0.5291666667</v>
      </c>
      <c r="J376" s="125">
        <f t="shared" si="19"/>
        <v>0.1684385876</v>
      </c>
      <c r="K376" s="51"/>
      <c r="L376" s="51"/>
      <c r="M376" s="51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  <c r="BV376" s="54"/>
      <c r="BW376" s="54"/>
      <c r="BX376" s="54"/>
      <c r="BY376" s="54"/>
      <c r="BZ376" s="54"/>
      <c r="CA376" s="54"/>
      <c r="CB376" s="54"/>
      <c r="CC376" s="54"/>
      <c r="CD376" s="54"/>
      <c r="CE376" s="54"/>
      <c r="CF376" s="54"/>
      <c r="CG376" s="54"/>
      <c r="CH376" s="54"/>
      <c r="CI376" s="54"/>
      <c r="CJ376" s="54"/>
      <c r="CK376" s="54"/>
      <c r="CL376" s="54"/>
      <c r="CM376" s="54"/>
      <c r="CN376" s="54"/>
      <c r="CO376" s="54"/>
      <c r="CP376" s="54"/>
      <c r="CQ376" s="54"/>
      <c r="CR376" s="54"/>
      <c r="CS376" s="54"/>
      <c r="CT376" s="54"/>
      <c r="CU376" s="54"/>
    </row>
    <row r="377" ht="15.75" customHeight="1">
      <c r="A377" s="51"/>
      <c r="B377" s="316" t="s">
        <v>815</v>
      </c>
      <c r="C377" s="189">
        <f>IF(Standing!$C$126*0.4&gt;2,Standing!$C$126*0.4,2)</f>
        <v>2</v>
      </c>
      <c r="D377" s="218">
        <f t="shared" si="15"/>
        <v>0.6366182837</v>
      </c>
      <c r="E377" s="190">
        <f t="shared" si="16"/>
        <v>50.8</v>
      </c>
      <c r="F377" s="122">
        <f t="shared" si="17"/>
        <v>16.17010441</v>
      </c>
      <c r="G377" s="123">
        <f>C377/Introduction!$I$20</f>
        <v>0.02083333333</v>
      </c>
      <c r="H377" s="192">
        <f t="shared" si="18"/>
        <v>0.006631440455</v>
      </c>
      <c r="I377" s="124">
        <f>E377/Introduction!$I$20</f>
        <v>0.5291666667</v>
      </c>
      <c r="J377" s="125">
        <f t="shared" si="19"/>
        <v>0.1684385876</v>
      </c>
      <c r="K377" s="51"/>
      <c r="L377" s="51"/>
      <c r="M377" s="51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  <c r="BV377" s="54"/>
      <c r="BW377" s="54"/>
      <c r="BX377" s="54"/>
      <c r="BY377" s="54"/>
      <c r="BZ377" s="54"/>
      <c r="CA377" s="54"/>
      <c r="CB377" s="54"/>
      <c r="CC377" s="54"/>
      <c r="CD377" s="54"/>
      <c r="CE377" s="54"/>
      <c r="CF377" s="54"/>
      <c r="CG377" s="54"/>
      <c r="CH377" s="54"/>
      <c r="CI377" s="54"/>
      <c r="CJ377" s="54"/>
      <c r="CK377" s="54"/>
      <c r="CL377" s="54"/>
      <c r="CM377" s="54"/>
      <c r="CN377" s="54"/>
      <c r="CO377" s="54"/>
      <c r="CP377" s="54"/>
      <c r="CQ377" s="54"/>
      <c r="CR377" s="54"/>
      <c r="CS377" s="54"/>
      <c r="CT377" s="54"/>
      <c r="CU377" s="54"/>
    </row>
    <row r="378" ht="15.75" customHeight="1">
      <c r="A378" s="51"/>
      <c r="B378" s="316" t="s">
        <v>816</v>
      </c>
      <c r="C378" s="189">
        <f>Standing!$C$126*0.4</f>
        <v>1.482805591</v>
      </c>
      <c r="D378" s="218">
        <f t="shared" si="15"/>
        <v>0.471990575</v>
      </c>
      <c r="E378" s="190">
        <f t="shared" si="16"/>
        <v>37.663262</v>
      </c>
      <c r="F378" s="122">
        <f t="shared" si="17"/>
        <v>11.98856061</v>
      </c>
      <c r="G378" s="123">
        <f>C378/Introduction!$I$20</f>
        <v>0.01544589157</v>
      </c>
      <c r="H378" s="192">
        <f t="shared" si="18"/>
        <v>0.00491656849</v>
      </c>
      <c r="I378" s="124">
        <f>E378/Introduction!$I$20</f>
        <v>0.3923256458</v>
      </c>
      <c r="J378" s="125">
        <f t="shared" si="19"/>
        <v>0.1248808396</v>
      </c>
      <c r="K378" s="51"/>
      <c r="L378" s="51"/>
      <c r="M378" s="51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  <c r="BV378" s="54"/>
      <c r="BW378" s="54"/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  <c r="CH378" s="54"/>
      <c r="CI378" s="54"/>
      <c r="CJ378" s="54"/>
      <c r="CK378" s="54"/>
      <c r="CL378" s="54"/>
      <c r="CM378" s="54"/>
      <c r="CN378" s="54"/>
      <c r="CO378" s="54"/>
      <c r="CP378" s="54"/>
      <c r="CQ378" s="54"/>
      <c r="CR378" s="54"/>
      <c r="CS378" s="54"/>
      <c r="CT378" s="54"/>
      <c r="CU378" s="54"/>
    </row>
    <row r="379" ht="15.75" customHeight="1">
      <c r="A379" s="51"/>
      <c r="B379" s="316" t="s">
        <v>817</v>
      </c>
      <c r="C379" s="189">
        <f>IF(Standing!$C$126*0.3&gt;1.5,Standing!$C$126*0.3,1.5)</f>
        <v>1.5</v>
      </c>
      <c r="D379" s="218">
        <f t="shared" si="15"/>
        <v>0.4774637128</v>
      </c>
      <c r="E379" s="190">
        <f t="shared" si="16"/>
        <v>38.1</v>
      </c>
      <c r="F379" s="122">
        <f t="shared" si="17"/>
        <v>12.1275783</v>
      </c>
      <c r="G379" s="123">
        <f>C379/Introduction!$I$20</f>
        <v>0.015625</v>
      </c>
      <c r="H379" s="192">
        <f t="shared" si="18"/>
        <v>0.004973580341</v>
      </c>
      <c r="I379" s="124">
        <f>E379/Introduction!$I$20</f>
        <v>0.396875</v>
      </c>
      <c r="J379" s="125">
        <f t="shared" si="19"/>
        <v>0.1263289407</v>
      </c>
      <c r="K379" s="51"/>
      <c r="L379" s="51"/>
      <c r="M379" s="51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  <c r="BV379" s="54"/>
      <c r="BW379" s="54"/>
      <c r="BX379" s="54"/>
      <c r="BY379" s="54"/>
      <c r="BZ379" s="54"/>
      <c r="CA379" s="54"/>
      <c r="CB379" s="54"/>
      <c r="CC379" s="54"/>
      <c r="CD379" s="54"/>
      <c r="CE379" s="54"/>
      <c r="CF379" s="54"/>
      <c r="CG379" s="54"/>
      <c r="CH379" s="54"/>
      <c r="CI379" s="54"/>
      <c r="CJ379" s="54"/>
      <c r="CK379" s="54"/>
      <c r="CL379" s="54"/>
      <c r="CM379" s="54"/>
      <c r="CN379" s="54"/>
      <c r="CO379" s="54"/>
      <c r="CP379" s="54"/>
      <c r="CQ379" s="54"/>
      <c r="CR379" s="54"/>
      <c r="CS379" s="54"/>
      <c r="CT379" s="54"/>
      <c r="CU379" s="54"/>
    </row>
    <row r="380" ht="15.75" customHeight="1">
      <c r="A380" s="51"/>
      <c r="B380" s="316" t="s">
        <v>818</v>
      </c>
      <c r="C380" s="189">
        <f>IF(Standing!$C$126*0.4&gt;2,Standing!$C$126*0.4,2)</f>
        <v>2</v>
      </c>
      <c r="D380" s="218">
        <f t="shared" si="15"/>
        <v>0.6366182837</v>
      </c>
      <c r="E380" s="190">
        <f t="shared" si="16"/>
        <v>50.8</v>
      </c>
      <c r="F380" s="122">
        <f t="shared" si="17"/>
        <v>16.17010441</v>
      </c>
      <c r="G380" s="123">
        <f>C380/Introduction!$I$20</f>
        <v>0.02083333333</v>
      </c>
      <c r="H380" s="192">
        <f t="shared" si="18"/>
        <v>0.006631440455</v>
      </c>
      <c r="I380" s="124">
        <f>E380/Introduction!$I$20</f>
        <v>0.5291666667</v>
      </c>
      <c r="J380" s="125">
        <f t="shared" si="19"/>
        <v>0.1684385876</v>
      </c>
      <c r="K380" s="51"/>
      <c r="L380" s="51"/>
      <c r="M380" s="51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</row>
    <row r="381" ht="15.75" customHeight="1">
      <c r="A381" s="51"/>
      <c r="B381" s="324" t="s">
        <v>819</v>
      </c>
      <c r="C381" s="189">
        <f>Standing!$C$126*0.25</f>
        <v>0.9267534941</v>
      </c>
      <c r="D381" s="218">
        <f t="shared" si="15"/>
        <v>0.2949941094</v>
      </c>
      <c r="E381" s="190">
        <f t="shared" si="16"/>
        <v>23.53953875</v>
      </c>
      <c r="F381" s="122">
        <f t="shared" si="17"/>
        <v>7.492850379</v>
      </c>
      <c r="G381" s="123">
        <f>C381/Introduction!$I$20</f>
        <v>0.00965368223</v>
      </c>
      <c r="H381" s="192">
        <f t="shared" si="18"/>
        <v>0.003072855306</v>
      </c>
      <c r="I381" s="124">
        <f>E381/Introduction!$I$20</f>
        <v>0.2452035286</v>
      </c>
      <c r="J381" s="125">
        <f t="shared" si="19"/>
        <v>0.07805052478</v>
      </c>
      <c r="K381" s="51"/>
      <c r="L381" s="51"/>
      <c r="M381" s="51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</row>
    <row r="382" ht="15.75" customHeight="1">
      <c r="A382" s="51"/>
      <c r="B382" s="325" t="s">
        <v>820</v>
      </c>
      <c r="C382" s="189">
        <f>Standing!$C$126*0.25</f>
        <v>0.9267534941</v>
      </c>
      <c r="D382" s="218">
        <f t="shared" si="15"/>
        <v>0.2949941094</v>
      </c>
      <c r="E382" s="190">
        <f t="shared" si="16"/>
        <v>23.53953875</v>
      </c>
      <c r="F382" s="122">
        <f t="shared" si="17"/>
        <v>7.492850379</v>
      </c>
      <c r="G382" s="123">
        <f>C382/Introduction!$I$20</f>
        <v>0.00965368223</v>
      </c>
      <c r="H382" s="192">
        <f t="shared" si="18"/>
        <v>0.003072855306</v>
      </c>
      <c r="I382" s="124">
        <f>E382/Introduction!$I$20</f>
        <v>0.2452035286</v>
      </c>
      <c r="J382" s="125">
        <f t="shared" si="19"/>
        <v>0.07805052478</v>
      </c>
      <c r="K382" s="51"/>
      <c r="L382" s="51"/>
      <c r="M382" s="51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</row>
    <row r="383" ht="15.75" customHeight="1">
      <c r="A383" s="51"/>
      <c r="B383" s="325" t="s">
        <v>821</v>
      </c>
      <c r="C383" s="189">
        <f>IF(Standing!$C$126*0.125&gt;1,Standing!$C$126*0.125,1)</f>
        <v>1</v>
      </c>
      <c r="D383" s="218">
        <f t="shared" si="15"/>
        <v>0.3183091418</v>
      </c>
      <c r="E383" s="190">
        <f t="shared" si="16"/>
        <v>25.4</v>
      </c>
      <c r="F383" s="122">
        <f t="shared" si="17"/>
        <v>8.085052203</v>
      </c>
      <c r="G383" s="123">
        <f>C383/Introduction!$I$20</f>
        <v>0.01041666667</v>
      </c>
      <c r="H383" s="192">
        <f t="shared" si="18"/>
        <v>0.003315720227</v>
      </c>
      <c r="I383" s="124">
        <f>E383/Introduction!$I$20</f>
        <v>0.2645833333</v>
      </c>
      <c r="J383" s="125">
        <f t="shared" si="19"/>
        <v>0.08421929378</v>
      </c>
      <c r="K383" s="51"/>
      <c r="L383" s="51"/>
      <c r="M383" s="51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</row>
    <row r="384" ht="15.75" customHeight="1">
      <c r="A384" s="51"/>
      <c r="B384" s="325" t="s">
        <v>822</v>
      </c>
      <c r="C384" s="189">
        <f>Standing!$C$126*0.3</f>
        <v>1.112104193</v>
      </c>
      <c r="D384" s="218">
        <f t="shared" si="15"/>
        <v>0.3539929313</v>
      </c>
      <c r="E384" s="190">
        <f t="shared" si="16"/>
        <v>28.2474465</v>
      </c>
      <c r="F384" s="122">
        <f t="shared" si="17"/>
        <v>8.991420455</v>
      </c>
      <c r="G384" s="123">
        <f>C384/Introduction!$I$20</f>
        <v>0.01158441868</v>
      </c>
      <c r="H384" s="192">
        <f t="shared" si="18"/>
        <v>0.003687426367</v>
      </c>
      <c r="I384" s="124">
        <f>E384/Introduction!$I$20</f>
        <v>0.2942442344</v>
      </c>
      <c r="J384" s="125">
        <f t="shared" si="19"/>
        <v>0.09366062973</v>
      </c>
      <c r="K384" s="51"/>
      <c r="L384" s="51"/>
      <c r="M384" s="51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</row>
    <row r="385" ht="15.75" customHeight="1">
      <c r="A385" s="51"/>
      <c r="B385" s="325" t="s">
        <v>823</v>
      </c>
      <c r="C385" s="189">
        <f>Standing!$C$126*0.25</f>
        <v>0.9267534941</v>
      </c>
      <c r="D385" s="218">
        <f t="shared" si="15"/>
        <v>0.2949941094</v>
      </c>
      <c r="E385" s="190">
        <f t="shared" si="16"/>
        <v>23.53953875</v>
      </c>
      <c r="F385" s="122">
        <f t="shared" si="17"/>
        <v>7.492850379</v>
      </c>
      <c r="G385" s="123">
        <f>C385/Introduction!$I$20</f>
        <v>0.00965368223</v>
      </c>
      <c r="H385" s="192">
        <f t="shared" si="18"/>
        <v>0.003072855306</v>
      </c>
      <c r="I385" s="124">
        <f>E385/Introduction!$I$20</f>
        <v>0.2452035286</v>
      </c>
      <c r="J385" s="125">
        <f t="shared" si="19"/>
        <v>0.07805052478</v>
      </c>
      <c r="K385" s="51"/>
      <c r="L385" s="51"/>
      <c r="M385" s="51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</row>
    <row r="386" ht="15.75" customHeight="1">
      <c r="A386" s="51"/>
      <c r="B386" s="325" t="s">
        <v>824</v>
      </c>
      <c r="C386" s="189">
        <f>Standing!$C$126*0.4</f>
        <v>1.482805591</v>
      </c>
      <c r="D386" s="218">
        <f t="shared" si="15"/>
        <v>0.471990575</v>
      </c>
      <c r="E386" s="190">
        <f t="shared" si="16"/>
        <v>37.663262</v>
      </c>
      <c r="F386" s="122">
        <f t="shared" si="17"/>
        <v>11.98856061</v>
      </c>
      <c r="G386" s="123">
        <f>C386/Introduction!$I$20</f>
        <v>0.01544589157</v>
      </c>
      <c r="H386" s="192">
        <f t="shared" si="18"/>
        <v>0.00491656849</v>
      </c>
      <c r="I386" s="124">
        <f>E386/Introduction!$I$20</f>
        <v>0.3923256458</v>
      </c>
      <c r="J386" s="125">
        <f t="shared" si="19"/>
        <v>0.1248808396</v>
      </c>
      <c r="K386" s="51"/>
      <c r="L386" s="51"/>
      <c r="M386" s="51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  <c r="BV386" s="54"/>
      <c r="BW386" s="54"/>
      <c r="BX386" s="54"/>
      <c r="BY386" s="54"/>
      <c r="BZ386" s="54"/>
      <c r="CA386" s="54"/>
      <c r="CB386" s="54"/>
      <c r="CC386" s="54"/>
      <c r="CD386" s="54"/>
      <c r="CE386" s="54"/>
      <c r="CF386" s="54"/>
      <c r="CG386" s="54"/>
      <c r="CH386" s="54"/>
      <c r="CI386" s="54"/>
      <c r="CJ386" s="54"/>
      <c r="CK386" s="54"/>
      <c r="CL386" s="54"/>
      <c r="CM386" s="54"/>
      <c r="CN386" s="54"/>
      <c r="CO386" s="54"/>
      <c r="CP386" s="54"/>
      <c r="CQ386" s="54"/>
      <c r="CR386" s="54"/>
      <c r="CS386" s="54"/>
      <c r="CT386" s="54"/>
      <c r="CU386" s="54"/>
    </row>
    <row r="387" ht="15.75" customHeight="1">
      <c r="A387" s="51"/>
      <c r="B387" s="325" t="s">
        <v>825</v>
      </c>
      <c r="C387" s="189">
        <f>Standing!$C$126*0.25</f>
        <v>0.9267534941</v>
      </c>
      <c r="D387" s="218">
        <f t="shared" si="15"/>
        <v>0.2949941094</v>
      </c>
      <c r="E387" s="190">
        <f t="shared" si="16"/>
        <v>23.53953875</v>
      </c>
      <c r="F387" s="122">
        <f t="shared" si="17"/>
        <v>7.492850379</v>
      </c>
      <c r="G387" s="123">
        <f>C387/Introduction!$I$20</f>
        <v>0.00965368223</v>
      </c>
      <c r="H387" s="192">
        <f t="shared" si="18"/>
        <v>0.003072855306</v>
      </c>
      <c r="I387" s="124">
        <f>E387/Introduction!$I$20</f>
        <v>0.2452035286</v>
      </c>
      <c r="J387" s="125">
        <f t="shared" si="19"/>
        <v>0.07805052478</v>
      </c>
      <c r="K387" s="51"/>
      <c r="L387" s="51"/>
      <c r="M387" s="51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  <c r="BV387" s="54"/>
      <c r="BW387" s="54"/>
      <c r="BX387" s="54"/>
      <c r="BY387" s="54"/>
      <c r="BZ387" s="54"/>
      <c r="CA387" s="54"/>
      <c r="CB387" s="54"/>
      <c r="CC387" s="54"/>
      <c r="CD387" s="54"/>
      <c r="CE387" s="54"/>
      <c r="CF387" s="54"/>
      <c r="CG387" s="54"/>
      <c r="CH387" s="54"/>
      <c r="CI387" s="54"/>
      <c r="CJ387" s="54"/>
      <c r="CK387" s="54"/>
      <c r="CL387" s="54"/>
      <c r="CM387" s="54"/>
      <c r="CN387" s="54"/>
      <c r="CO387" s="54"/>
      <c r="CP387" s="54"/>
      <c r="CQ387" s="54"/>
      <c r="CR387" s="54"/>
      <c r="CS387" s="54"/>
      <c r="CT387" s="54"/>
      <c r="CU387" s="54"/>
    </row>
    <row r="388" ht="15.75" customHeight="1">
      <c r="A388" s="51"/>
      <c r="B388" s="325" t="s">
        <v>826</v>
      </c>
      <c r="C388" s="189">
        <f>Standing!$C$126*0.25</f>
        <v>0.9267534941</v>
      </c>
      <c r="D388" s="218">
        <f t="shared" si="15"/>
        <v>0.2949941094</v>
      </c>
      <c r="E388" s="190">
        <f t="shared" si="16"/>
        <v>23.53953875</v>
      </c>
      <c r="F388" s="122">
        <f t="shared" si="17"/>
        <v>7.492850379</v>
      </c>
      <c r="G388" s="123">
        <f>C388/Introduction!$I$20</f>
        <v>0.00965368223</v>
      </c>
      <c r="H388" s="192">
        <f t="shared" si="18"/>
        <v>0.003072855306</v>
      </c>
      <c r="I388" s="124">
        <f>E388/Introduction!$I$20</f>
        <v>0.2452035286</v>
      </c>
      <c r="J388" s="125">
        <f t="shared" si="19"/>
        <v>0.07805052478</v>
      </c>
      <c r="K388" s="51"/>
      <c r="L388" s="51"/>
      <c r="M388" s="51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</row>
    <row r="389" ht="15.75" customHeight="1">
      <c r="A389" s="51"/>
      <c r="B389" s="324" t="s">
        <v>827</v>
      </c>
      <c r="C389" s="189">
        <f>Standing!$C$126*0.25</f>
        <v>0.9267534941</v>
      </c>
      <c r="D389" s="218">
        <f t="shared" si="15"/>
        <v>0.2949941094</v>
      </c>
      <c r="E389" s="190">
        <f t="shared" si="16"/>
        <v>23.53953875</v>
      </c>
      <c r="F389" s="122">
        <f t="shared" si="17"/>
        <v>7.492850379</v>
      </c>
      <c r="G389" s="123">
        <f>C389/Introduction!$I$20</f>
        <v>0.00965368223</v>
      </c>
      <c r="H389" s="192">
        <f t="shared" si="18"/>
        <v>0.003072855306</v>
      </c>
      <c r="I389" s="124">
        <f>E389/Introduction!$I$20</f>
        <v>0.2452035286</v>
      </c>
      <c r="J389" s="125">
        <f t="shared" si="19"/>
        <v>0.07805052478</v>
      </c>
      <c r="K389" s="51"/>
      <c r="L389" s="51"/>
      <c r="M389" s="51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</row>
    <row r="390" ht="15.75" customHeight="1">
      <c r="A390" s="51"/>
      <c r="B390" s="325" t="s">
        <v>828</v>
      </c>
      <c r="C390" s="189">
        <f>Standing!$C$126*0.3</f>
        <v>1.112104193</v>
      </c>
      <c r="D390" s="218">
        <f t="shared" si="15"/>
        <v>0.3539929313</v>
      </c>
      <c r="E390" s="190">
        <f t="shared" si="16"/>
        <v>28.2474465</v>
      </c>
      <c r="F390" s="122">
        <f t="shared" si="17"/>
        <v>8.991420455</v>
      </c>
      <c r="G390" s="123">
        <f>C390/Introduction!$I$20</f>
        <v>0.01158441868</v>
      </c>
      <c r="H390" s="192">
        <f t="shared" si="18"/>
        <v>0.003687426367</v>
      </c>
      <c r="I390" s="124">
        <f>E390/Introduction!$I$20</f>
        <v>0.2942442344</v>
      </c>
      <c r="J390" s="125">
        <f t="shared" si="19"/>
        <v>0.09366062973</v>
      </c>
      <c r="K390" s="51"/>
      <c r="L390" s="51"/>
      <c r="M390" s="51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  <c r="BV390" s="54"/>
      <c r="BW390" s="54"/>
      <c r="BX390" s="54"/>
      <c r="BY390" s="54"/>
      <c r="BZ390" s="54"/>
      <c r="CA390" s="54"/>
      <c r="CB390" s="54"/>
      <c r="CC390" s="54"/>
      <c r="CD390" s="54"/>
      <c r="CE390" s="54"/>
      <c r="CF390" s="54"/>
      <c r="CG390" s="54"/>
      <c r="CH390" s="54"/>
      <c r="CI390" s="54"/>
      <c r="CJ390" s="54"/>
      <c r="CK390" s="54"/>
      <c r="CL390" s="54"/>
      <c r="CM390" s="54"/>
      <c r="CN390" s="54"/>
      <c r="CO390" s="54"/>
      <c r="CP390" s="54"/>
      <c r="CQ390" s="54"/>
      <c r="CR390" s="54"/>
      <c r="CS390" s="54"/>
      <c r="CT390" s="54"/>
      <c r="CU390" s="54"/>
    </row>
    <row r="391" ht="15.75" customHeight="1">
      <c r="A391" s="51"/>
      <c r="B391" s="325" t="s">
        <v>829</v>
      </c>
      <c r="C391" s="189">
        <f>Standing!$C$126*0.33</f>
        <v>1.223314612</v>
      </c>
      <c r="D391" s="218">
        <f t="shared" si="15"/>
        <v>0.3893922244</v>
      </c>
      <c r="E391" s="190">
        <f t="shared" si="16"/>
        <v>31.07219115</v>
      </c>
      <c r="F391" s="122">
        <f t="shared" si="17"/>
        <v>9.8905625</v>
      </c>
      <c r="G391" s="123">
        <f>C391/Introduction!$I$20</f>
        <v>0.01274286054</v>
      </c>
      <c r="H391" s="192">
        <f t="shared" si="18"/>
        <v>0.004056169004</v>
      </c>
      <c r="I391" s="124">
        <f>E391/Introduction!$I$20</f>
        <v>0.3236686578</v>
      </c>
      <c r="J391" s="125">
        <f t="shared" si="19"/>
        <v>0.1030266927</v>
      </c>
      <c r="K391" s="51"/>
      <c r="L391" s="51"/>
      <c r="M391" s="51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</row>
    <row r="392" ht="15.75" customHeight="1">
      <c r="A392" s="51"/>
      <c r="B392" s="325" t="s">
        <v>830</v>
      </c>
      <c r="C392" s="189">
        <f>Standing!$C$126*0.25</f>
        <v>0.9267534941</v>
      </c>
      <c r="D392" s="218">
        <f t="shared" si="15"/>
        <v>0.2949941094</v>
      </c>
      <c r="E392" s="190">
        <f t="shared" si="16"/>
        <v>23.53953875</v>
      </c>
      <c r="F392" s="122">
        <f t="shared" si="17"/>
        <v>7.492850379</v>
      </c>
      <c r="G392" s="123">
        <f>C392/Introduction!$I$20</f>
        <v>0.00965368223</v>
      </c>
      <c r="H392" s="192">
        <f t="shared" si="18"/>
        <v>0.003072855306</v>
      </c>
      <c r="I392" s="124">
        <f>E392/Introduction!$I$20</f>
        <v>0.2452035286</v>
      </c>
      <c r="J392" s="125">
        <f t="shared" si="19"/>
        <v>0.07805052478</v>
      </c>
      <c r="K392" s="51"/>
      <c r="L392" s="51"/>
      <c r="M392" s="51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</row>
    <row r="393" ht="15.75" customHeight="1">
      <c r="A393" s="51"/>
      <c r="B393" s="325" t="s">
        <v>831</v>
      </c>
      <c r="C393" s="189">
        <f>Standing!$C$126*0.33</f>
        <v>1.223314612</v>
      </c>
      <c r="D393" s="218">
        <f t="shared" si="15"/>
        <v>0.3893922244</v>
      </c>
      <c r="E393" s="190">
        <f t="shared" si="16"/>
        <v>31.07219115</v>
      </c>
      <c r="F393" s="122">
        <f t="shared" si="17"/>
        <v>9.8905625</v>
      </c>
      <c r="G393" s="123">
        <f>C393/Introduction!$I$20</f>
        <v>0.01274286054</v>
      </c>
      <c r="H393" s="192">
        <f t="shared" si="18"/>
        <v>0.004056169004</v>
      </c>
      <c r="I393" s="124">
        <f>E393/Introduction!$I$20</f>
        <v>0.3236686578</v>
      </c>
      <c r="J393" s="125">
        <f t="shared" si="19"/>
        <v>0.1030266927</v>
      </c>
      <c r="K393" s="51"/>
      <c r="L393" s="51"/>
      <c r="M393" s="51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  <c r="BV393" s="54"/>
      <c r="BW393" s="54"/>
      <c r="BX393" s="54"/>
      <c r="BY393" s="54"/>
      <c r="BZ393" s="54"/>
      <c r="CA393" s="54"/>
      <c r="CB393" s="54"/>
      <c r="CC393" s="54"/>
      <c r="CD393" s="54"/>
      <c r="CE393" s="54"/>
      <c r="CF393" s="54"/>
      <c r="CG393" s="54"/>
      <c r="CH393" s="54"/>
      <c r="CI393" s="54"/>
      <c r="CJ393" s="54"/>
      <c r="CK393" s="54"/>
      <c r="CL393" s="54"/>
      <c r="CM393" s="54"/>
      <c r="CN393" s="54"/>
      <c r="CO393" s="54"/>
      <c r="CP393" s="54"/>
      <c r="CQ393" s="54"/>
      <c r="CR393" s="54"/>
      <c r="CS393" s="54"/>
      <c r="CT393" s="54"/>
      <c r="CU393" s="54"/>
    </row>
    <row r="394" ht="15.75" customHeight="1">
      <c r="A394" s="51"/>
      <c r="B394" s="325" t="s">
        <v>832</v>
      </c>
      <c r="C394" s="189">
        <f>Standing!$C$126*0.5</f>
        <v>1.853506988</v>
      </c>
      <c r="D394" s="218">
        <f t="shared" si="15"/>
        <v>0.5899882188</v>
      </c>
      <c r="E394" s="190">
        <f t="shared" si="16"/>
        <v>47.0790775</v>
      </c>
      <c r="F394" s="122">
        <f t="shared" si="17"/>
        <v>14.98570076</v>
      </c>
      <c r="G394" s="123">
        <f>C394/Introduction!$I$20</f>
        <v>0.01930736446</v>
      </c>
      <c r="H394" s="192">
        <f t="shared" si="18"/>
        <v>0.006145710612</v>
      </c>
      <c r="I394" s="124">
        <f>E394/Introduction!$I$20</f>
        <v>0.4904070573</v>
      </c>
      <c r="J394" s="125">
        <f t="shared" si="19"/>
        <v>0.1561010496</v>
      </c>
      <c r="K394" s="51"/>
      <c r="L394" s="51"/>
      <c r="M394" s="51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  <c r="BV394" s="54"/>
      <c r="BW394" s="54"/>
      <c r="BX394" s="54"/>
      <c r="BY394" s="54"/>
      <c r="BZ394" s="54"/>
      <c r="CA394" s="54"/>
      <c r="CB394" s="54"/>
      <c r="CC394" s="54"/>
      <c r="CD394" s="54"/>
      <c r="CE394" s="54"/>
      <c r="CF394" s="54"/>
      <c r="CG394" s="54"/>
      <c r="CH394" s="54"/>
      <c r="CI394" s="54"/>
      <c r="CJ394" s="54"/>
      <c r="CK394" s="54"/>
      <c r="CL394" s="54"/>
      <c r="CM394" s="54"/>
      <c r="CN394" s="54"/>
      <c r="CO394" s="54"/>
      <c r="CP394" s="54"/>
      <c r="CQ394" s="54"/>
      <c r="CR394" s="54"/>
      <c r="CS394" s="54"/>
      <c r="CT394" s="54"/>
      <c r="CU394" s="54"/>
    </row>
    <row r="395" ht="15.75" customHeight="1">
      <c r="A395" s="51"/>
      <c r="B395" s="326" t="s">
        <v>833</v>
      </c>
      <c r="C395" s="189">
        <f>Standing!$C$126*0.6</f>
        <v>2.224208386</v>
      </c>
      <c r="D395" s="218">
        <f t="shared" si="15"/>
        <v>0.7079858626</v>
      </c>
      <c r="E395" s="190">
        <f t="shared" si="16"/>
        <v>56.494893</v>
      </c>
      <c r="F395" s="122">
        <f t="shared" si="17"/>
        <v>17.98284091</v>
      </c>
      <c r="G395" s="123">
        <f>C395/Introduction!$I$20</f>
        <v>0.02316883735</v>
      </c>
      <c r="H395" s="192">
        <f t="shared" si="18"/>
        <v>0.007374852735</v>
      </c>
      <c r="I395" s="124">
        <f>E395/Introduction!$I$20</f>
        <v>0.5884884687</v>
      </c>
      <c r="J395" s="125">
        <f t="shared" si="19"/>
        <v>0.1873212595</v>
      </c>
      <c r="K395" s="51"/>
      <c r="L395" s="51"/>
      <c r="M395" s="51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  <c r="BV395" s="54"/>
      <c r="BW395" s="54"/>
      <c r="BX395" s="54"/>
      <c r="BY395" s="54"/>
      <c r="BZ395" s="54"/>
      <c r="CA395" s="54"/>
      <c r="CB395" s="54"/>
      <c r="CC395" s="54"/>
      <c r="CD395" s="54"/>
      <c r="CE395" s="54"/>
      <c r="CF395" s="54"/>
      <c r="CG395" s="54"/>
      <c r="CH395" s="54"/>
      <c r="CI395" s="54"/>
      <c r="CJ395" s="54"/>
      <c r="CK395" s="54"/>
      <c r="CL395" s="54"/>
      <c r="CM395" s="54"/>
      <c r="CN395" s="54"/>
      <c r="CO395" s="54"/>
      <c r="CP395" s="54"/>
      <c r="CQ395" s="54"/>
      <c r="CR395" s="54"/>
      <c r="CS395" s="54"/>
      <c r="CT395" s="54"/>
      <c r="CU395" s="54"/>
    </row>
    <row r="396" ht="15.75" customHeight="1">
      <c r="A396" s="51"/>
      <c r="B396" s="325" t="s">
        <v>834</v>
      </c>
      <c r="C396" s="189">
        <f>Standing!$C$126*0.56</f>
        <v>2.075927827</v>
      </c>
      <c r="D396" s="218">
        <f t="shared" si="15"/>
        <v>0.6607868051</v>
      </c>
      <c r="E396" s="190">
        <f t="shared" si="16"/>
        <v>52.7285668</v>
      </c>
      <c r="F396" s="122">
        <f t="shared" si="17"/>
        <v>16.78398485</v>
      </c>
      <c r="G396" s="123">
        <f>C396/Introduction!$I$20</f>
        <v>0.0216242482</v>
      </c>
      <c r="H396" s="192">
        <f t="shared" si="18"/>
        <v>0.006883195886</v>
      </c>
      <c r="I396" s="124">
        <f>E396/Introduction!$I$20</f>
        <v>0.5492559042</v>
      </c>
      <c r="J396" s="125">
        <f t="shared" si="19"/>
        <v>0.1748331755</v>
      </c>
      <c r="K396" s="51"/>
      <c r="L396" s="51"/>
      <c r="M396" s="51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  <c r="BV396" s="54"/>
      <c r="BW396" s="54"/>
      <c r="BX396" s="54"/>
      <c r="BY396" s="54"/>
      <c r="BZ396" s="54"/>
      <c r="CA396" s="54"/>
      <c r="CB396" s="54"/>
      <c r="CC396" s="54"/>
      <c r="CD396" s="54"/>
      <c r="CE396" s="54"/>
      <c r="CF396" s="54"/>
      <c r="CG396" s="54"/>
      <c r="CH396" s="54"/>
      <c r="CI396" s="54"/>
      <c r="CJ396" s="54"/>
      <c r="CK396" s="54"/>
      <c r="CL396" s="54"/>
      <c r="CM396" s="54"/>
      <c r="CN396" s="54"/>
      <c r="CO396" s="54"/>
      <c r="CP396" s="54"/>
      <c r="CQ396" s="54"/>
      <c r="CR396" s="54"/>
      <c r="CS396" s="54"/>
      <c r="CT396" s="54"/>
      <c r="CU396" s="54"/>
    </row>
    <row r="397" ht="15.75" customHeight="1">
      <c r="A397" s="51"/>
      <c r="B397" s="325" t="s">
        <v>835</v>
      </c>
      <c r="C397" s="189">
        <f>Standing!$C$126*0.25</f>
        <v>0.9267534941</v>
      </c>
      <c r="D397" s="218">
        <f t="shared" si="15"/>
        <v>0.2949941094</v>
      </c>
      <c r="E397" s="190">
        <f t="shared" si="16"/>
        <v>23.53953875</v>
      </c>
      <c r="F397" s="122">
        <f t="shared" si="17"/>
        <v>7.492850379</v>
      </c>
      <c r="G397" s="123">
        <f>C397/Introduction!$I$20</f>
        <v>0.00965368223</v>
      </c>
      <c r="H397" s="192">
        <f t="shared" si="18"/>
        <v>0.003072855306</v>
      </c>
      <c r="I397" s="124">
        <f>E397/Introduction!$I$20</f>
        <v>0.2452035286</v>
      </c>
      <c r="J397" s="125">
        <f t="shared" si="19"/>
        <v>0.07805052478</v>
      </c>
      <c r="K397" s="51"/>
      <c r="L397" s="51"/>
      <c r="M397" s="51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  <c r="BV397" s="54"/>
      <c r="BW397" s="54"/>
      <c r="BX397" s="54"/>
      <c r="BY397" s="54"/>
      <c r="BZ397" s="54"/>
      <c r="CA397" s="54"/>
      <c r="CB397" s="54"/>
      <c r="CC397" s="54"/>
      <c r="CD397" s="54"/>
      <c r="CE397" s="54"/>
      <c r="CF397" s="54"/>
      <c r="CG397" s="54"/>
      <c r="CH397" s="54"/>
      <c r="CI397" s="54"/>
      <c r="CJ397" s="54"/>
      <c r="CK397" s="54"/>
      <c r="CL397" s="54"/>
      <c r="CM397" s="54"/>
      <c r="CN397" s="54"/>
      <c r="CO397" s="54"/>
      <c r="CP397" s="54"/>
      <c r="CQ397" s="54"/>
      <c r="CR397" s="54"/>
      <c r="CS397" s="54"/>
      <c r="CT397" s="54"/>
      <c r="CU397" s="54"/>
    </row>
    <row r="398" ht="15.75" customHeight="1">
      <c r="A398" s="51"/>
      <c r="B398" s="325" t="s">
        <v>836</v>
      </c>
      <c r="C398" s="189">
        <f>Standing!$C$126*0.44</f>
        <v>1.63108615</v>
      </c>
      <c r="D398" s="218">
        <f t="shared" si="15"/>
        <v>0.5191896325</v>
      </c>
      <c r="E398" s="190">
        <f t="shared" si="16"/>
        <v>41.4295882</v>
      </c>
      <c r="F398" s="122">
        <f t="shared" si="17"/>
        <v>13.18741667</v>
      </c>
      <c r="G398" s="123">
        <f>C398/Introduction!$I$20</f>
        <v>0.01699048072</v>
      </c>
      <c r="H398" s="192">
        <f t="shared" si="18"/>
        <v>0.005408225339</v>
      </c>
      <c r="I398" s="124">
        <f>E398/Introduction!$I$20</f>
        <v>0.4315582104</v>
      </c>
      <c r="J398" s="125">
        <f t="shared" si="19"/>
        <v>0.1373689236</v>
      </c>
      <c r="K398" s="51"/>
      <c r="L398" s="51"/>
      <c r="M398" s="51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</row>
    <row r="399" ht="15.75" customHeight="1">
      <c r="A399" s="51"/>
      <c r="B399" s="325" t="s">
        <v>837</v>
      </c>
      <c r="C399" s="189">
        <f>Standing!$C$126*0.44</f>
        <v>1.63108615</v>
      </c>
      <c r="D399" s="218">
        <f t="shared" si="15"/>
        <v>0.5191896325</v>
      </c>
      <c r="E399" s="190">
        <f t="shared" si="16"/>
        <v>41.4295882</v>
      </c>
      <c r="F399" s="122">
        <f t="shared" si="17"/>
        <v>13.18741667</v>
      </c>
      <c r="G399" s="123">
        <f>C399/Introduction!$I$20</f>
        <v>0.01699048072</v>
      </c>
      <c r="H399" s="192">
        <f t="shared" si="18"/>
        <v>0.005408225339</v>
      </c>
      <c r="I399" s="124">
        <f>E399/Introduction!$I$20</f>
        <v>0.4315582104</v>
      </c>
      <c r="J399" s="125">
        <f t="shared" si="19"/>
        <v>0.1373689236</v>
      </c>
      <c r="K399" s="51"/>
      <c r="L399" s="51"/>
      <c r="M399" s="51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</row>
    <row r="400" ht="15.75" customHeight="1">
      <c r="A400" s="51"/>
      <c r="B400" s="325" t="s">
        <v>838</v>
      </c>
      <c r="C400" s="189">
        <f>Standing!$C$126*0.44</f>
        <v>1.63108615</v>
      </c>
      <c r="D400" s="218">
        <f t="shared" si="15"/>
        <v>0.5191896325</v>
      </c>
      <c r="E400" s="190">
        <f t="shared" si="16"/>
        <v>41.4295882</v>
      </c>
      <c r="F400" s="122">
        <f t="shared" si="17"/>
        <v>13.18741667</v>
      </c>
      <c r="G400" s="123">
        <f>C400/Introduction!$I$20</f>
        <v>0.01699048072</v>
      </c>
      <c r="H400" s="192">
        <f t="shared" si="18"/>
        <v>0.005408225339</v>
      </c>
      <c r="I400" s="124">
        <f>E400/Introduction!$I$20</f>
        <v>0.4315582104</v>
      </c>
      <c r="J400" s="125">
        <f t="shared" si="19"/>
        <v>0.1373689236</v>
      </c>
      <c r="K400" s="51"/>
      <c r="L400" s="51"/>
      <c r="M400" s="51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</row>
    <row r="401" ht="15.75" customHeight="1">
      <c r="A401" s="51"/>
      <c r="B401" s="325" t="s">
        <v>839</v>
      </c>
      <c r="C401" s="189">
        <f>Standing!$C$126*0.25</f>
        <v>0.9267534941</v>
      </c>
      <c r="D401" s="218">
        <f t="shared" si="15"/>
        <v>0.2949941094</v>
      </c>
      <c r="E401" s="190">
        <f t="shared" si="16"/>
        <v>23.53953875</v>
      </c>
      <c r="F401" s="122">
        <f t="shared" si="17"/>
        <v>7.492850379</v>
      </c>
      <c r="G401" s="123">
        <f>C401/Introduction!$I$20</f>
        <v>0.00965368223</v>
      </c>
      <c r="H401" s="192">
        <f t="shared" si="18"/>
        <v>0.003072855306</v>
      </c>
      <c r="I401" s="124">
        <f>E401/Introduction!$I$20</f>
        <v>0.2452035286</v>
      </c>
      <c r="J401" s="125">
        <f t="shared" si="19"/>
        <v>0.07805052478</v>
      </c>
      <c r="K401" s="51"/>
      <c r="L401" s="51"/>
      <c r="M401" s="51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</row>
    <row r="402" ht="15.75" customHeight="1">
      <c r="A402" s="51"/>
      <c r="B402" s="325" t="s">
        <v>840</v>
      </c>
      <c r="C402" s="189">
        <f>Standing!$C$126*0.25</f>
        <v>0.9267534941</v>
      </c>
      <c r="D402" s="218">
        <f t="shared" si="15"/>
        <v>0.2949941094</v>
      </c>
      <c r="E402" s="190">
        <f t="shared" si="16"/>
        <v>23.53953875</v>
      </c>
      <c r="F402" s="122">
        <f t="shared" si="17"/>
        <v>7.492850379</v>
      </c>
      <c r="G402" s="123">
        <f>C402/Introduction!$I$20</f>
        <v>0.00965368223</v>
      </c>
      <c r="H402" s="192">
        <f t="shared" si="18"/>
        <v>0.003072855306</v>
      </c>
      <c r="I402" s="124">
        <f>E402/Introduction!$I$20</f>
        <v>0.2452035286</v>
      </c>
      <c r="J402" s="125">
        <f t="shared" si="19"/>
        <v>0.07805052478</v>
      </c>
      <c r="K402" s="51"/>
      <c r="L402" s="51"/>
      <c r="M402" s="51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</row>
    <row r="403" ht="15.75" customHeight="1">
      <c r="A403" s="51"/>
      <c r="B403" s="327" t="s">
        <v>841</v>
      </c>
      <c r="C403" s="189">
        <f>Standing!$C$132*0.5</f>
        <v>0.9267534941</v>
      </c>
      <c r="D403" s="218">
        <f t="shared" si="15"/>
        <v>0.2949941094</v>
      </c>
      <c r="E403" s="190">
        <f t="shared" si="16"/>
        <v>23.53953875</v>
      </c>
      <c r="F403" s="122">
        <f t="shared" si="17"/>
        <v>7.492850379</v>
      </c>
      <c r="G403" s="123">
        <f>C403/Introduction!$I$20</f>
        <v>0.00965368223</v>
      </c>
      <c r="H403" s="192">
        <f t="shared" si="18"/>
        <v>0.003072855306</v>
      </c>
      <c r="I403" s="124">
        <f>E403/Introduction!$I$20</f>
        <v>0.2452035286</v>
      </c>
      <c r="J403" s="125">
        <f t="shared" si="19"/>
        <v>0.07805052478</v>
      </c>
      <c r="K403" s="51"/>
      <c r="L403" s="51"/>
      <c r="M403" s="51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</row>
    <row r="404" ht="15.75" customHeight="1">
      <c r="A404" s="51"/>
      <c r="B404" s="325" t="s">
        <v>842</v>
      </c>
      <c r="C404" s="189">
        <f>Standing!$C$132*0.5</f>
        <v>0.9267534941</v>
      </c>
      <c r="D404" s="218">
        <f t="shared" si="15"/>
        <v>0.2949941094</v>
      </c>
      <c r="E404" s="190">
        <f t="shared" si="16"/>
        <v>23.53953875</v>
      </c>
      <c r="F404" s="122">
        <f t="shared" si="17"/>
        <v>7.492850379</v>
      </c>
      <c r="G404" s="123">
        <f>C404/Introduction!$I$20</f>
        <v>0.00965368223</v>
      </c>
      <c r="H404" s="192">
        <f t="shared" si="18"/>
        <v>0.003072855306</v>
      </c>
      <c r="I404" s="124">
        <f>E404/Introduction!$I$20</f>
        <v>0.2452035286</v>
      </c>
      <c r="J404" s="125">
        <f t="shared" si="19"/>
        <v>0.07805052478</v>
      </c>
      <c r="K404" s="51"/>
      <c r="L404" s="51"/>
      <c r="M404" s="51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</row>
    <row r="405" ht="15.75" customHeight="1">
      <c r="A405" s="51"/>
      <c r="B405" s="325" t="s">
        <v>843</v>
      </c>
      <c r="C405" s="189">
        <f>IF(Standing!$C$132*0.4&gt;1,Standing!$C$132*0.4,1)</f>
        <v>1</v>
      </c>
      <c r="D405" s="218">
        <f t="shared" si="15"/>
        <v>0.3183091418</v>
      </c>
      <c r="E405" s="190">
        <f t="shared" si="16"/>
        <v>25.4</v>
      </c>
      <c r="F405" s="122">
        <f t="shared" si="17"/>
        <v>8.085052203</v>
      </c>
      <c r="G405" s="123">
        <f>C405/Introduction!$I$20</f>
        <v>0.01041666667</v>
      </c>
      <c r="H405" s="192">
        <f t="shared" si="18"/>
        <v>0.003315720227</v>
      </c>
      <c r="I405" s="124">
        <f>E405/Introduction!$I$20</f>
        <v>0.2645833333</v>
      </c>
      <c r="J405" s="125">
        <f t="shared" si="19"/>
        <v>0.08421929378</v>
      </c>
      <c r="K405" s="51"/>
      <c r="L405" s="51"/>
      <c r="M405" s="51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</row>
    <row r="406" ht="15.75" customHeight="1">
      <c r="A406" s="51"/>
      <c r="B406" s="325" t="s">
        <v>844</v>
      </c>
      <c r="C406" s="189">
        <f>IF(Standing!$C$132*0.3&gt;1,Standing!$C$132*0.3,1)</f>
        <v>1</v>
      </c>
      <c r="D406" s="218">
        <f t="shared" si="15"/>
        <v>0.3183091418</v>
      </c>
      <c r="E406" s="190">
        <f t="shared" si="16"/>
        <v>25.4</v>
      </c>
      <c r="F406" s="122">
        <f t="shared" si="17"/>
        <v>8.085052203</v>
      </c>
      <c r="G406" s="123">
        <f>C406/Introduction!$I$20</f>
        <v>0.01041666667</v>
      </c>
      <c r="H406" s="192">
        <f t="shared" si="18"/>
        <v>0.003315720227</v>
      </c>
      <c r="I406" s="124">
        <f>E406/Introduction!$I$20</f>
        <v>0.2645833333</v>
      </c>
      <c r="J406" s="125">
        <f t="shared" si="19"/>
        <v>0.08421929378</v>
      </c>
      <c r="K406" s="51"/>
      <c r="L406" s="51"/>
      <c r="M406" s="51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</row>
    <row r="407" ht="15.75" customHeight="1">
      <c r="A407" s="51"/>
      <c r="B407" s="326" t="s">
        <v>845</v>
      </c>
      <c r="C407" s="189">
        <f>Standing!$C$136*0.66</f>
        <v>1.32</v>
      </c>
      <c r="D407" s="218">
        <f t="shared" si="15"/>
        <v>0.4201680672</v>
      </c>
      <c r="E407" s="190">
        <f t="shared" si="16"/>
        <v>33.528</v>
      </c>
      <c r="F407" s="122">
        <f t="shared" si="17"/>
        <v>10.67226891</v>
      </c>
      <c r="G407" s="123">
        <f>C407/Introduction!$I$20</f>
        <v>0.01375</v>
      </c>
      <c r="H407" s="192">
        <f t="shared" si="18"/>
        <v>0.0043767507</v>
      </c>
      <c r="I407" s="124">
        <f>E407/Introduction!$I$20</f>
        <v>0.34925</v>
      </c>
      <c r="J407" s="125">
        <f t="shared" si="19"/>
        <v>0.1111694678</v>
      </c>
      <c r="K407" s="51"/>
      <c r="L407" s="51"/>
      <c r="M407" s="51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</row>
    <row r="408" ht="15.75" customHeight="1">
      <c r="A408" s="51"/>
      <c r="B408" s="325" t="s">
        <v>846</v>
      </c>
      <c r="C408" s="189">
        <f>Standing!$C$136*0.66</f>
        <v>1.32</v>
      </c>
      <c r="D408" s="218">
        <f t="shared" si="15"/>
        <v>0.4201680672</v>
      </c>
      <c r="E408" s="190">
        <f t="shared" si="16"/>
        <v>33.528</v>
      </c>
      <c r="F408" s="122">
        <f t="shared" si="17"/>
        <v>10.67226891</v>
      </c>
      <c r="G408" s="123">
        <f>C408/Introduction!$I$20</f>
        <v>0.01375</v>
      </c>
      <c r="H408" s="192">
        <f t="shared" si="18"/>
        <v>0.0043767507</v>
      </c>
      <c r="I408" s="124">
        <f>E408/Introduction!$I$20</f>
        <v>0.34925</v>
      </c>
      <c r="J408" s="125">
        <f t="shared" si="19"/>
        <v>0.1111694678</v>
      </c>
      <c r="K408" s="51"/>
      <c r="L408" s="51"/>
      <c r="M408" s="51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</row>
    <row r="409" ht="15.75" customHeight="1">
      <c r="A409" s="51"/>
      <c r="B409" s="325" t="s">
        <v>847</v>
      </c>
      <c r="C409" s="189">
        <f>Standing!$C$136*0.55</f>
        <v>1.1</v>
      </c>
      <c r="D409" s="218">
        <f t="shared" si="15"/>
        <v>0.350140056</v>
      </c>
      <c r="E409" s="190">
        <f t="shared" si="16"/>
        <v>27.94</v>
      </c>
      <c r="F409" s="122">
        <f t="shared" si="17"/>
        <v>8.893557423</v>
      </c>
      <c r="G409" s="123">
        <f>C409/Introduction!$I$20</f>
        <v>0.01145833333</v>
      </c>
      <c r="H409" s="192">
        <f t="shared" si="18"/>
        <v>0.00364729225</v>
      </c>
      <c r="I409" s="124">
        <f>E409/Introduction!$I$20</f>
        <v>0.2910416667</v>
      </c>
      <c r="J409" s="125">
        <f t="shared" si="19"/>
        <v>0.09264122316</v>
      </c>
      <c r="K409" s="51"/>
      <c r="L409" s="51"/>
      <c r="M409" s="51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</row>
    <row r="410" ht="15.75" customHeight="1">
      <c r="A410" s="51"/>
      <c r="B410" s="328" t="s">
        <v>848</v>
      </c>
      <c r="C410" s="185">
        <f>Standing!$C$136*0.33</f>
        <v>0.66</v>
      </c>
      <c r="D410" s="128">
        <f t="shared" si="15"/>
        <v>0.2100840336</v>
      </c>
      <c r="E410" s="248">
        <f t="shared" si="16"/>
        <v>16.764</v>
      </c>
      <c r="F410" s="130">
        <f t="shared" si="17"/>
        <v>5.336134454</v>
      </c>
      <c r="G410" s="131">
        <f>C410/Introduction!$I$20</f>
        <v>0.006875</v>
      </c>
      <c r="H410" s="187">
        <f t="shared" si="18"/>
        <v>0.00218837535</v>
      </c>
      <c r="I410" s="133">
        <f>E410/Introduction!$I$20</f>
        <v>0.174625</v>
      </c>
      <c r="J410" s="135">
        <f t="shared" si="19"/>
        <v>0.05558473389</v>
      </c>
      <c r="K410" s="51"/>
      <c r="L410" s="51"/>
      <c r="M410" s="51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</row>
    <row r="411" ht="15.75" customHeight="1">
      <c r="A411" s="51"/>
      <c r="B411" s="51"/>
      <c r="C411" s="241"/>
      <c r="D411" s="241"/>
      <c r="E411" s="241"/>
      <c r="F411" s="241"/>
      <c r="G411" s="241"/>
      <c r="H411" s="241"/>
      <c r="I411" s="241"/>
      <c r="J411" s="241"/>
      <c r="K411" s="51"/>
      <c r="L411" s="51"/>
      <c r="M411" s="51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</row>
    <row r="412" ht="15.75" customHeight="1">
      <c r="A412" s="51"/>
      <c r="B412" s="51"/>
      <c r="C412" s="241"/>
      <c r="D412" s="241"/>
      <c r="E412" s="241"/>
      <c r="F412" s="241"/>
      <c r="G412" s="241"/>
      <c r="H412" s="241"/>
      <c r="I412" s="241"/>
      <c r="J412" s="241"/>
      <c r="K412" s="51"/>
      <c r="L412" s="51"/>
      <c r="M412" s="51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</row>
    <row r="413" ht="15.75" customHeight="1">
      <c r="A413" s="51"/>
      <c r="B413" s="51"/>
      <c r="C413" s="241"/>
      <c r="D413" s="241"/>
      <c r="E413" s="241"/>
      <c r="F413" s="241"/>
      <c r="G413" s="241"/>
      <c r="H413" s="241"/>
      <c r="I413" s="241"/>
      <c r="J413" s="241"/>
      <c r="K413" s="51"/>
      <c r="L413" s="51"/>
      <c r="M413" s="51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</row>
    <row r="414" ht="15.75" customHeight="1">
      <c r="A414" s="51"/>
      <c r="B414" s="51"/>
      <c r="C414" s="241"/>
      <c r="D414" s="241"/>
      <c r="E414" s="241"/>
      <c r="F414" s="241"/>
      <c r="G414" s="241"/>
      <c r="H414" s="241"/>
      <c r="I414" s="241"/>
      <c r="J414" s="241"/>
      <c r="K414" s="51"/>
      <c r="L414" s="51"/>
      <c r="M414" s="51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</row>
    <row r="415" ht="15.75" customHeight="1">
      <c r="A415" s="51"/>
      <c r="B415" s="51"/>
      <c r="C415" s="241"/>
      <c r="D415" s="241"/>
      <c r="E415" s="241"/>
      <c r="F415" s="241"/>
      <c r="G415" s="241"/>
      <c r="H415" s="241"/>
      <c r="I415" s="241"/>
      <c r="J415" s="241"/>
      <c r="K415" s="51"/>
      <c r="L415" s="51"/>
      <c r="M415" s="51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</row>
    <row r="416" ht="15.75" customHeight="1">
      <c r="A416" s="51"/>
      <c r="B416" s="51"/>
      <c r="C416" s="241"/>
      <c r="D416" s="241"/>
      <c r="E416" s="241"/>
      <c r="F416" s="241"/>
      <c r="G416" s="241"/>
      <c r="H416" s="241"/>
      <c r="I416" s="241"/>
      <c r="J416" s="241"/>
      <c r="K416" s="51"/>
      <c r="L416" s="51"/>
      <c r="M416" s="51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</row>
    <row r="417" ht="15.75" customHeight="1">
      <c r="A417" s="51"/>
      <c r="B417" s="51"/>
      <c r="C417" s="241"/>
      <c r="D417" s="241"/>
      <c r="E417" s="241"/>
      <c r="F417" s="241"/>
      <c r="G417" s="241"/>
      <c r="H417" s="241"/>
      <c r="I417" s="241"/>
      <c r="J417" s="241"/>
      <c r="K417" s="51"/>
      <c r="L417" s="51"/>
      <c r="M417" s="51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</row>
    <row r="418" ht="15.75" customHeight="1">
      <c r="A418" s="51"/>
      <c r="B418" s="51"/>
      <c r="C418" s="241"/>
      <c r="D418" s="241"/>
      <c r="E418" s="241"/>
      <c r="F418" s="241"/>
      <c r="G418" s="241"/>
      <c r="H418" s="241"/>
      <c r="I418" s="241"/>
      <c r="J418" s="241"/>
      <c r="K418" s="51"/>
      <c r="L418" s="51"/>
      <c r="M418" s="51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</row>
    <row r="419" ht="15.75" customHeight="1">
      <c r="A419" s="51"/>
      <c r="B419" s="51"/>
      <c r="C419" s="241"/>
      <c r="D419" s="241"/>
      <c r="E419" s="241"/>
      <c r="F419" s="241"/>
      <c r="G419" s="241"/>
      <c r="H419" s="241"/>
      <c r="I419" s="241"/>
      <c r="J419" s="241"/>
      <c r="K419" s="51"/>
      <c r="L419" s="51"/>
      <c r="M419" s="51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</row>
    <row r="420" ht="15.75" customHeight="1">
      <c r="A420" s="51"/>
      <c r="B420" s="51"/>
      <c r="C420" s="241"/>
      <c r="D420" s="241"/>
      <c r="E420" s="241"/>
      <c r="F420" s="241"/>
      <c r="G420" s="241"/>
      <c r="H420" s="241"/>
      <c r="I420" s="241"/>
      <c r="J420" s="241"/>
      <c r="K420" s="51"/>
      <c r="L420" s="51"/>
      <c r="M420" s="51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</row>
    <row r="421" ht="15.75" customHeight="1">
      <c r="A421" s="51"/>
      <c r="B421" s="51"/>
      <c r="C421" s="12"/>
      <c r="D421" s="12"/>
      <c r="E421" s="12"/>
      <c r="F421" s="241"/>
      <c r="G421" s="241"/>
      <c r="H421" s="241"/>
      <c r="I421" s="241"/>
      <c r="J421" s="241"/>
      <c r="K421" s="51"/>
      <c r="L421" s="51"/>
      <c r="M421" s="51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</row>
    <row r="422" ht="15.75" customHeight="1">
      <c r="A422" s="51"/>
      <c r="B422" s="51"/>
      <c r="C422" s="241"/>
      <c r="D422" s="241"/>
      <c r="E422" s="241"/>
      <c r="F422" s="241"/>
      <c r="G422" s="241"/>
      <c r="H422" s="241"/>
      <c r="I422" s="241"/>
      <c r="J422" s="241"/>
      <c r="K422" s="51"/>
      <c r="L422" s="51"/>
      <c r="M422" s="51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</row>
    <row r="423" ht="15.75" customHeight="1">
      <c r="A423" s="54"/>
      <c r="B423" s="54"/>
      <c r="C423" s="277"/>
      <c r="D423" s="277"/>
      <c r="E423" s="277"/>
      <c r="F423" s="277"/>
      <c r="G423" s="277"/>
      <c r="H423" s="277"/>
      <c r="I423" s="277"/>
      <c r="J423" s="277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</row>
    <row r="424" ht="15.75" customHeight="1">
      <c r="A424" s="54"/>
      <c r="B424" s="54"/>
      <c r="C424" s="277"/>
      <c r="D424" s="277"/>
      <c r="E424" s="277"/>
      <c r="F424" s="277"/>
      <c r="G424" s="277"/>
      <c r="H424" s="277"/>
      <c r="I424" s="277"/>
      <c r="J424" s="277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</row>
    <row r="425" ht="15.75" customHeight="1">
      <c r="A425" s="54"/>
      <c r="B425" s="54"/>
      <c r="C425" s="277"/>
      <c r="D425" s="277"/>
      <c r="E425" s="277"/>
      <c r="F425" s="277"/>
      <c r="G425" s="277"/>
      <c r="H425" s="277"/>
      <c r="I425" s="277"/>
      <c r="J425" s="277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</row>
    <row r="426" ht="15.75" customHeight="1">
      <c r="A426" s="54"/>
      <c r="B426" s="54"/>
      <c r="C426" s="277"/>
      <c r="D426" s="277"/>
      <c r="E426" s="277"/>
      <c r="F426" s="277"/>
      <c r="G426" s="277"/>
      <c r="H426" s="277"/>
      <c r="I426" s="277"/>
      <c r="J426" s="277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</row>
    <row r="427" ht="15.75" customHeight="1">
      <c r="A427" s="54"/>
      <c r="B427" s="54"/>
      <c r="C427" s="277"/>
      <c r="D427" s="277"/>
      <c r="E427" s="277"/>
      <c r="F427" s="277"/>
      <c r="G427" s="277"/>
      <c r="H427" s="277"/>
      <c r="I427" s="277"/>
      <c r="J427" s="277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</row>
    <row r="428" ht="15.75" customHeight="1">
      <c r="A428" s="54"/>
      <c r="B428" s="54"/>
      <c r="C428" s="277"/>
      <c r="D428" s="277"/>
      <c r="E428" s="277"/>
      <c r="F428" s="277"/>
      <c r="G428" s="277"/>
      <c r="H428" s="277"/>
      <c r="I428" s="277"/>
      <c r="J428" s="277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</row>
    <row r="429" ht="15.75" customHeight="1">
      <c r="A429" s="54"/>
      <c r="B429" s="54"/>
      <c r="C429" s="277"/>
      <c r="D429" s="277"/>
      <c r="E429" s="277"/>
      <c r="F429" s="277"/>
      <c r="G429" s="277"/>
      <c r="H429" s="277"/>
      <c r="I429" s="277"/>
      <c r="J429" s="277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</row>
    <row r="430" ht="15.75" customHeight="1">
      <c r="A430" s="54"/>
      <c r="B430" s="54"/>
      <c r="C430" s="277"/>
      <c r="D430" s="277"/>
      <c r="E430" s="277"/>
      <c r="F430" s="277"/>
      <c r="G430" s="277"/>
      <c r="H430" s="277"/>
      <c r="I430" s="277"/>
      <c r="J430" s="277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</row>
    <row r="431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</row>
  </sheetData>
  <mergeCells count="4">
    <mergeCell ref="C3:D3"/>
    <mergeCell ref="E3:F3"/>
    <mergeCell ref="G3:H3"/>
    <mergeCell ref="I3:J3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2010-05-12T21:54:59Z</dcterms:created>
  <dc:creator>John &amp; Pam</dc:creator>
</cp:coreProperties>
</file>